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0"/>
  </bookViews>
  <sheets>
    <sheet name="Sources Uses" sheetId="1" r:id="rId1"/>
    <sheet name="PF Bal Sht" sheetId="2" r:id="rId2"/>
    <sheet name="Assumptions" sheetId="3" r:id="rId3"/>
    <sheet name="Model" sheetId="4" r:id="rId4"/>
  </sheets>
  <definedNames>
    <definedName name="_xlnm.Print_Area" localSheetId="2">'Assumptions'!$A$2:$L$53</definedName>
    <definedName name="_xlnm.Print_Area" localSheetId="3">'Model'!$A$6:$M$159</definedName>
    <definedName name="_xlnm.Print_Titles" localSheetId="2">'Assumptions'!$1:$1</definedName>
    <definedName name="_xlnm.Print_Titles" localSheetId="3">'Model'!$1:$5</definedName>
  </definedNames>
  <calcPr calcMode="manual" fullCalcOnLoad="1" iterate="1" iterateCount="1000" iterateDelta="0.001"/>
</workbook>
</file>

<file path=xl/sharedStrings.xml><?xml version="1.0" encoding="utf-8"?>
<sst xmlns="http://schemas.openxmlformats.org/spreadsheetml/2006/main" count="358" uniqueCount="245">
  <si>
    <t>Revenue</t>
  </si>
  <si>
    <t>Fiscal Year Ending December 31,</t>
  </si>
  <si>
    <t>($ in millions)</t>
  </si>
  <si>
    <t xml:space="preserve">    % Growth</t>
  </si>
  <si>
    <t>na</t>
  </si>
  <si>
    <t>Revenue Growth Rate</t>
  </si>
  <si>
    <r>
      <t xml:space="preserve">Cost of Goods Sold </t>
    </r>
    <r>
      <rPr>
        <vertAlign val="superscript"/>
        <sz val="10"/>
        <rFont val="Times New Roman"/>
        <family val="1"/>
      </rPr>
      <t>(1)</t>
    </r>
  </si>
  <si>
    <t>(1) Excludes depreciation and amortization</t>
  </si>
  <si>
    <t xml:space="preserve">     COGS as % of Revenue</t>
  </si>
  <si>
    <t>COGS as % of Revenue</t>
  </si>
  <si>
    <t>Depreciation</t>
  </si>
  <si>
    <t>Gross Profit</t>
  </si>
  <si>
    <t xml:space="preserve">    Gross Profit</t>
  </si>
  <si>
    <t>SG&amp;A Expenses</t>
  </si>
  <si>
    <t xml:space="preserve">     SG&amp;A as % of Revenue</t>
  </si>
  <si>
    <t>SG&amp;A as % of Sales</t>
  </si>
  <si>
    <t>Operating Income / EBIT</t>
  </si>
  <si>
    <t xml:space="preserve">    Operating Income / EBIT Margin</t>
  </si>
  <si>
    <t>Interest Expense</t>
  </si>
  <si>
    <t>Interest Income</t>
  </si>
  <si>
    <t xml:space="preserve">    Net Interest Expense</t>
  </si>
  <si>
    <t>Other Income / (Expense)</t>
  </si>
  <si>
    <t>Pretax Income</t>
  </si>
  <si>
    <t>Taxes</t>
  </si>
  <si>
    <t>Tax Rate</t>
  </si>
  <si>
    <t xml:space="preserve">     Tax Rate</t>
  </si>
  <si>
    <t>Net Income</t>
  </si>
  <si>
    <t xml:space="preserve">     Net Margin</t>
  </si>
  <si>
    <t xml:space="preserve">     Net Income Growth</t>
  </si>
  <si>
    <t>EBITDA</t>
  </si>
  <si>
    <t xml:space="preserve">     EBITDA Margin</t>
  </si>
  <si>
    <t>Balance Sheet</t>
  </si>
  <si>
    <t>Cash</t>
  </si>
  <si>
    <t>Accounts Receivable</t>
  </si>
  <si>
    <t>Inventory</t>
  </si>
  <si>
    <t>Other Current Assets</t>
  </si>
  <si>
    <t>Total Assets</t>
  </si>
  <si>
    <t>Accounts Payable</t>
  </si>
  <si>
    <t>Accrued Liabilities</t>
  </si>
  <si>
    <t>Other Current Liabilities</t>
  </si>
  <si>
    <t>Other Liabilities</t>
  </si>
  <si>
    <t>Total Liabilities and Equity</t>
  </si>
  <si>
    <t>Assets</t>
  </si>
  <si>
    <t xml:space="preserve">    Total Current Assets</t>
  </si>
  <si>
    <t>Gross PP&amp;E</t>
  </si>
  <si>
    <t>Cumulative Depreciation</t>
  </si>
  <si>
    <t>Net PP&amp;E</t>
  </si>
  <si>
    <t>Liabilities</t>
  </si>
  <si>
    <t xml:space="preserve">    Total Current Liabilities</t>
  </si>
  <si>
    <t>Unsecured Debt</t>
  </si>
  <si>
    <t>Shareholders Equity</t>
  </si>
  <si>
    <t>Capital Expenditures</t>
  </si>
  <si>
    <t>Asset Dispostions</t>
  </si>
  <si>
    <t>Revolving Credit Facility</t>
  </si>
  <si>
    <t>Term Loan</t>
  </si>
  <si>
    <t xml:space="preserve">    Total Liabilities</t>
  </si>
  <si>
    <t>Cash Flow</t>
  </si>
  <si>
    <t>Plus / (minus):</t>
  </si>
  <si>
    <t xml:space="preserve">    Accounts Receivable</t>
  </si>
  <si>
    <t xml:space="preserve">    Inventory</t>
  </si>
  <si>
    <t xml:space="preserve">    Other Current Assets</t>
  </si>
  <si>
    <t xml:space="preserve">    Accounts Payable</t>
  </si>
  <si>
    <t xml:space="preserve">    Accrued Liabilities</t>
  </si>
  <si>
    <t xml:space="preserve"> Changes in Working Capital</t>
  </si>
  <si>
    <t xml:space="preserve">  Change in Other Liabilities</t>
  </si>
  <si>
    <t>Cash Flows from Operations</t>
  </si>
  <si>
    <t>Cash Flows from Investing</t>
  </si>
  <si>
    <t>Balance Sheet Drivers / Assumptions</t>
  </si>
  <si>
    <t>Income Statement Drivers / Assumptions</t>
  </si>
  <si>
    <t>Days Accounts Receivable</t>
  </si>
  <si>
    <t>Days Inventory</t>
  </si>
  <si>
    <t>Capex as % of Sales</t>
  </si>
  <si>
    <t>Asset Disposition</t>
  </si>
  <si>
    <t>Cash Flows from Financing</t>
  </si>
  <si>
    <t>Change in Revolver</t>
  </si>
  <si>
    <t>Change in Term Loan</t>
  </si>
  <si>
    <t>Change in Unsecured Debt</t>
  </si>
  <si>
    <t xml:space="preserve">   Total Cash Flows from Financing</t>
  </si>
  <si>
    <t>Beginning Cash Position</t>
  </si>
  <si>
    <t>Change in Cash Position</t>
  </si>
  <si>
    <t>Total Cash Flow</t>
  </si>
  <si>
    <t>Ending Cash Position</t>
  </si>
  <si>
    <t xml:space="preserve">Revolver </t>
  </si>
  <si>
    <t>Beginning Revolver Balance</t>
  </si>
  <si>
    <t>Ending Revolver Balance</t>
  </si>
  <si>
    <t>Interest Rate</t>
  </si>
  <si>
    <t>Revolver</t>
  </si>
  <si>
    <t>LIBOR</t>
  </si>
  <si>
    <t>Term Loan Beginning Balance</t>
  </si>
  <si>
    <t>(Paydown) / Drawdown</t>
  </si>
  <si>
    <t>Term Loan Ending Balance</t>
  </si>
  <si>
    <t>Unsecured Debt Beginning Balance</t>
  </si>
  <si>
    <t>Unsecured Debt Ending Balance</t>
  </si>
  <si>
    <t>Total Interest Expense</t>
  </si>
  <si>
    <t>Interest earned on cash</t>
  </si>
  <si>
    <t>Debt and Interest Schedule</t>
  </si>
  <si>
    <t>Interest Earned on Cash</t>
  </si>
  <si>
    <t>Days Payable</t>
  </si>
  <si>
    <t>Accrued Liabilities as % of COGS</t>
  </si>
  <si>
    <t xml:space="preserve">    Check</t>
  </si>
  <si>
    <t xml:space="preserve">    Total Shareholders Equity</t>
  </si>
  <si>
    <t xml:space="preserve">     EBITDA Growth</t>
  </si>
  <si>
    <t>HISTORICAL FINANCIAL STATEMENTS</t>
  </si>
  <si>
    <t>PROJECTED FINANCIAL STATEMENTS</t>
  </si>
  <si>
    <t>COMPANY A FINANCIAL MODEL</t>
  </si>
  <si>
    <t>Goodwill</t>
  </si>
  <si>
    <t xml:space="preserve">    Other Current Liabilities</t>
  </si>
  <si>
    <t>HISTORICAL VARIABLES AND DRIVERS</t>
  </si>
  <si>
    <t>ASSUMPTIONS FOR PROJECTIONS</t>
  </si>
  <si>
    <t>HISTORIC VARIABLES AND ASSUMPTIONS FOR PROJECTIONS</t>
  </si>
  <si>
    <t>Income Statement</t>
  </si>
  <si>
    <t>Other Liailities</t>
  </si>
  <si>
    <t>Cash flow before Revolver</t>
  </si>
  <si>
    <t>Depreciation as % of Gross PP&amp;E</t>
  </si>
  <si>
    <t>Other Equity</t>
  </si>
  <si>
    <t>Term Loan Amortization</t>
  </si>
  <si>
    <t>Unsecured Debt Amortization</t>
  </si>
  <si>
    <t>LBO of Company A</t>
  </si>
  <si>
    <t>TRANSACTION ASSUMPTIONS</t>
  </si>
  <si>
    <t>Closing Date</t>
  </si>
  <si>
    <t>EBITDA Multiple</t>
  </si>
  <si>
    <t>Equity Purchase Price</t>
  </si>
  <si>
    <t>TOTAL USES</t>
  </si>
  <si>
    <t>TOTAL SOURCES</t>
  </si>
  <si>
    <t>Amount</t>
  </si>
  <si>
    <t>% of</t>
  </si>
  <si>
    <t>% of Fully</t>
  </si>
  <si>
    <t>Uses</t>
  </si>
  <si>
    <t>Capitalization</t>
  </si>
  <si>
    <t>Funded</t>
  </si>
  <si>
    <t>Multiple</t>
  </si>
  <si>
    <t>Cash Pay</t>
  </si>
  <si>
    <t>PIK</t>
  </si>
  <si>
    <t>Diluted Equity</t>
  </si>
  <si>
    <t>Financing Fees</t>
  </si>
  <si>
    <t>Investment Banking Fees</t>
  </si>
  <si>
    <t>Legal Fees</t>
  </si>
  <si>
    <t>Other Fees and Expenses</t>
  </si>
  <si>
    <t>Unsecured Notes with Warrants</t>
  </si>
  <si>
    <t xml:space="preserve">   Total Debt</t>
  </si>
  <si>
    <t>Sponsor Equity</t>
  </si>
  <si>
    <t>Total Uses</t>
  </si>
  <si>
    <t>Total Sources</t>
  </si>
  <si>
    <t>IRR to Financial Sponsor</t>
  </si>
  <si>
    <t>Initial Equity Investment</t>
  </si>
  <si>
    <t>2012 EBITDA</t>
  </si>
  <si>
    <t>Dividends</t>
  </si>
  <si>
    <t>Proceeds at Sale</t>
  </si>
  <si>
    <t xml:space="preserve">  Total Cash Flows to Sponsor</t>
  </si>
  <si>
    <t>Less: Total Debt</t>
  </si>
  <si>
    <t>IRR Calculation</t>
  </si>
  <si>
    <t>Plus:  Cash Balance</t>
  </si>
  <si>
    <r>
      <t xml:space="preserve">Less: Transaction Fees </t>
    </r>
    <r>
      <rPr>
        <vertAlign val="superscript"/>
        <sz val="10"/>
        <rFont val="Times New Roman"/>
        <family val="1"/>
      </rPr>
      <t>(1)</t>
    </r>
  </si>
  <si>
    <t>IRR to Unsecured Lender</t>
  </si>
  <si>
    <t>Equity Value</t>
  </si>
  <si>
    <t>Initial Loan</t>
  </si>
  <si>
    <t>% Equity to Sponsor</t>
  </si>
  <si>
    <t>Cash Interest Received</t>
  </si>
  <si>
    <t>Equity to Sponsor</t>
  </si>
  <si>
    <t>Principal Repayment at Sale</t>
  </si>
  <si>
    <t>Equity from Warrants at Sale</t>
  </si>
  <si>
    <t>% Equity to Unsecured Lender</t>
  </si>
  <si>
    <t xml:space="preserve">  Total Cash Flows to Lender</t>
  </si>
  <si>
    <t>Equity to Unsecured Lender</t>
  </si>
  <si>
    <t>(1) Assumes 1% of Purchase Price for Investment Banking Fees, plus $2 million in legal and other expenses.</t>
  </si>
  <si>
    <t>Summary of Relevent Financial Statistics</t>
  </si>
  <si>
    <t>Income Statement Statistics</t>
  </si>
  <si>
    <t xml:space="preserve">Revenue </t>
  </si>
  <si>
    <t xml:space="preserve">EBITDA </t>
  </si>
  <si>
    <t>Net Interest Expense</t>
  </si>
  <si>
    <t>Cash Interest Expense</t>
  </si>
  <si>
    <t>Revenue Growth</t>
  </si>
  <si>
    <t>EBITDA Margin</t>
  </si>
  <si>
    <t>EBITDA Growth</t>
  </si>
  <si>
    <t>Net Income Growth</t>
  </si>
  <si>
    <t>Net Income Margin</t>
  </si>
  <si>
    <t>Balance Sheet / Cash Flow Statistics</t>
  </si>
  <si>
    <t>Total Debt</t>
  </si>
  <si>
    <t>Net Debt</t>
  </si>
  <si>
    <t>Secured Debt</t>
  </si>
  <si>
    <t>Capex</t>
  </si>
  <si>
    <t>Increase (Decrease) in W/C</t>
  </si>
  <si>
    <t>Leverage Ratios</t>
  </si>
  <si>
    <t>Total Debt / EBITDA</t>
  </si>
  <si>
    <t>Net Debt / EBITDA</t>
  </si>
  <si>
    <t>Secured Debt / EBITDA</t>
  </si>
  <si>
    <t>EBITDA / Net Interest Expense</t>
  </si>
  <si>
    <t>EBITDA / Cash Interest Expense</t>
  </si>
  <si>
    <t>Interest Coverage Statistics</t>
  </si>
  <si>
    <t>EBITDA / Cash Interest</t>
  </si>
  <si>
    <t>EBITDA - Capex /  Net Interest Expense</t>
  </si>
  <si>
    <t>EBITDA - Capex / Cash Interest Expense</t>
  </si>
  <si>
    <t>EBITDA - Capex - ∆ W/C / Net Interest Expense</t>
  </si>
  <si>
    <t>EBITDA - Capex - ∆ W/C / Cash Interest Expense</t>
  </si>
  <si>
    <t>EBITDA - Capex - ∆ W/C - Taxes/ Net Interest Expense</t>
  </si>
  <si>
    <t>EBITDA - Capex - ∆ W/C - Taxes/ Cash Interest Expense</t>
  </si>
  <si>
    <t>Proforma Balance Sheet</t>
  </si>
  <si>
    <t>Proforma</t>
  </si>
  <si>
    <t>Dec. 31</t>
  </si>
  <si>
    <t>Transaction</t>
  </si>
  <si>
    <t>Adjustments</t>
  </si>
  <si>
    <t>Existing Debt</t>
  </si>
  <si>
    <t>New Debt</t>
  </si>
  <si>
    <t>Goodwill Calculation</t>
  </si>
  <si>
    <t>Less:  Book Value of Equity</t>
  </si>
  <si>
    <t>New Goodwill</t>
  </si>
  <si>
    <t>Pro Forma</t>
  </si>
  <si>
    <t>Existing Debt:</t>
  </si>
  <si>
    <t>Cash Interest Rate</t>
  </si>
  <si>
    <t>PIK Interest Rate</t>
  </si>
  <si>
    <t>PIK Interest Expense</t>
  </si>
  <si>
    <t>Unsecured Debt - PIK Interest</t>
  </si>
  <si>
    <t>Retained Earnings</t>
  </si>
  <si>
    <t>Historical</t>
  </si>
  <si>
    <t>Financing/</t>
  </si>
  <si>
    <t>2008P</t>
  </si>
  <si>
    <t>Unsecured Debt - Cash Interest</t>
  </si>
  <si>
    <t>Common Stock</t>
  </si>
  <si>
    <t>Other Assets</t>
  </si>
  <si>
    <t>2008 EBITDA</t>
  </si>
  <si>
    <t>Paydown Existing Debt</t>
  </si>
  <si>
    <t>New Intangible Assets</t>
  </si>
  <si>
    <t>Senior Bonds</t>
  </si>
  <si>
    <t>Senior Bonds Beginning Balance</t>
  </si>
  <si>
    <t>Senior Bonds Ending Balance</t>
  </si>
  <si>
    <t xml:space="preserve">Amortization </t>
  </si>
  <si>
    <t>Amortization</t>
  </si>
  <si>
    <t>Amortization Period (in years)</t>
  </si>
  <si>
    <t xml:space="preserve">Transaction Value </t>
  </si>
  <si>
    <t>Implied Equity Purchase Price</t>
  </si>
  <si>
    <t xml:space="preserve">Transaction (Enterprise) Value </t>
  </si>
  <si>
    <t xml:space="preserve">  Less: Existing Debt</t>
  </si>
  <si>
    <t xml:space="preserve">  Plus: Cash</t>
  </si>
  <si>
    <t>Change in Senior Bonds</t>
  </si>
  <si>
    <t>Depreciation and Amortization</t>
  </si>
  <si>
    <t>Amortizable Intangibles</t>
  </si>
  <si>
    <t>Amortizable Intangibles Calculation</t>
  </si>
  <si>
    <t>Transaction Fees (excl. Financing Fees) Calculation</t>
  </si>
  <si>
    <t>Senior Bonds - Cash Interest</t>
  </si>
  <si>
    <t>Senior Bonds - PIK Interest</t>
  </si>
  <si>
    <t>Senior Bonds Amortization</t>
  </si>
  <si>
    <t>Interest Rate Assumptions</t>
  </si>
  <si>
    <t>SALE OF COMPANY A IN 2013</t>
  </si>
  <si>
    <t>Other Current Liabilities as % of COGS</t>
  </si>
  <si>
    <t>Transaction Fees to be Expensed at Closing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</si>
</sst>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\a"/>
    <numFmt numFmtId="165" formatCode="0000\A"/>
    <numFmt numFmtId="166" formatCode="0000\P"/>
    <numFmt numFmtId="167" formatCode="&quot;$&quot;#,##0"/>
    <numFmt numFmtId="168" formatCode="0.0%"/>
    <numFmt numFmtId="169" formatCode="0.0"/>
    <numFmt numFmtId="170" formatCode="&quot;$&quot;#,##0.0_);\(&quot;$&quot;#,##0.0\)"/>
    <numFmt numFmtId="171" formatCode="_(* #,##0.0_);_(* \(#,##0.0\);_(* &quot;-&quot;??_);_(@_)"/>
    <numFmt numFmtId="172" formatCode="_(* #,##0_);_(* \(#,##0\);_(* &quot;-&quot;??_);_(@_)"/>
    <numFmt numFmtId="173" formatCode="0%\+\l\i"/>
    <numFmt numFmtId="174" formatCode="0.000%"/>
    <numFmt numFmtId="175" formatCode="0.0000%"/>
    <numFmt numFmtId="176" formatCode="&quot;$&quot;#,##0.0"/>
    <numFmt numFmtId="177" formatCode="0.0%\+\l\i"/>
    <numFmt numFmtId="178" formatCode="_(&quot;$&quot;* #,##0.0_);_(&quot;$&quot;* \(#,##0.0\);_(&quot;$&quot;* &quot;-&quot;??_);_(@_)"/>
    <numFmt numFmtId="179" formatCode="0.0\x"/>
    <numFmt numFmtId="180" formatCode="#,##0.0_);\(#,##0.0\)"/>
    <numFmt numFmtId="181" formatCode="m/d/yy;@"/>
    <numFmt numFmtId="182" formatCode="_(&quot;$&quot;* #,##0.000_);_(&quot;$&quot;* \(#,##0.000\);_(&quot;$&quot;* &quot;-&quot;??_);_(@_)"/>
    <numFmt numFmtId="183" formatCode="_(* #,##0.000_);_(* \(#,##0.000\);_(* &quot;-&quot;??_);_(@_)"/>
    <numFmt numFmtId="184" formatCode="&quot;$&quot;#,##0.000_);\(&quot;$&quot;#,##0.000\)"/>
  </numFmts>
  <fonts count="49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sz val="10"/>
      <color indexed="12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sz val="10"/>
      <color indexed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Dashed"/>
      <right style="mediumDashed"/>
      <top>
        <color indexed="63"/>
      </top>
      <bottom style="thin"/>
    </border>
    <border>
      <left style="mediumDashed"/>
      <right style="mediumDashed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Continuous"/>
    </xf>
    <xf numFmtId="167" fontId="1" fillId="0" borderId="0" xfId="0" applyNumberFormat="1" applyFont="1" applyAlignment="1">
      <alignment/>
    </xf>
    <xf numFmtId="0" fontId="5" fillId="0" borderId="0" xfId="0" applyFont="1" applyAlignment="1">
      <alignment/>
    </xf>
    <xf numFmtId="168" fontId="5" fillId="0" borderId="0" xfId="58" applyNumberFormat="1" applyFont="1" applyAlignment="1">
      <alignment horizontal="center"/>
    </xf>
    <xf numFmtId="0" fontId="1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8" fontId="1" fillId="0" borderId="0" xfId="58" applyNumberFormat="1" applyFont="1" applyAlignment="1">
      <alignment horizontal="center"/>
    </xf>
    <xf numFmtId="168" fontId="6" fillId="0" borderId="0" xfId="58" applyNumberFormat="1" applyFont="1" applyAlignment="1">
      <alignment horizontal="center"/>
    </xf>
    <xf numFmtId="0" fontId="1" fillId="0" borderId="10" xfId="0" applyFont="1" applyBorder="1" applyAlignment="1">
      <alignment/>
    </xf>
    <xf numFmtId="5" fontId="1" fillId="0" borderId="0" xfId="0" applyNumberFormat="1" applyFont="1" applyAlignment="1">
      <alignment horizontal="center"/>
    </xf>
    <xf numFmtId="0" fontId="3" fillId="0" borderId="11" xfId="0" applyFont="1" applyBorder="1" applyAlignment="1">
      <alignment horizontal="centerContinuous"/>
    </xf>
    <xf numFmtId="0" fontId="5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70" fontId="1" fillId="0" borderId="0" xfId="0" applyNumberFormat="1" applyFont="1" applyAlignment="1">
      <alignment horizontal="center"/>
    </xf>
    <xf numFmtId="5" fontId="8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70" fontId="8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37" fontId="1" fillId="0" borderId="0" xfId="42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170" fontId="1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9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7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170" fontId="5" fillId="0" borderId="11" xfId="58" applyNumberFormat="1" applyFont="1" applyBorder="1" applyAlignment="1">
      <alignment horizontal="center"/>
    </xf>
    <xf numFmtId="168" fontId="5" fillId="0" borderId="11" xfId="58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68" fontId="5" fillId="0" borderId="0" xfId="58" applyNumberFormat="1" applyFont="1" applyBorder="1" applyAlignment="1">
      <alignment horizontal="center"/>
    </xf>
    <xf numFmtId="170" fontId="5" fillId="0" borderId="0" xfId="0" applyNumberFormat="1" applyFont="1" applyAlignment="1">
      <alignment horizontal="center"/>
    </xf>
    <xf numFmtId="0" fontId="3" fillId="0" borderId="12" xfId="0" applyFont="1" applyBorder="1" applyAlignment="1">
      <alignment horizontal="centerContinuous"/>
    </xf>
    <xf numFmtId="165" fontId="4" fillId="0" borderId="13" xfId="0" applyNumberFormat="1" applyFont="1" applyBorder="1" applyAlignment="1">
      <alignment horizontal="center"/>
    </xf>
    <xf numFmtId="170" fontId="1" fillId="0" borderId="13" xfId="0" applyNumberFormat="1" applyFont="1" applyBorder="1" applyAlignment="1">
      <alignment horizontal="center"/>
    </xf>
    <xf numFmtId="168" fontId="5" fillId="0" borderId="13" xfId="58" applyNumberFormat="1" applyFont="1" applyBorder="1" applyAlignment="1">
      <alignment horizontal="center"/>
    </xf>
    <xf numFmtId="170" fontId="1" fillId="0" borderId="13" xfId="0" applyNumberFormat="1" applyFont="1" applyFill="1" applyBorder="1" applyAlignment="1">
      <alignment horizontal="center"/>
    </xf>
    <xf numFmtId="170" fontId="5" fillId="0" borderId="12" xfId="58" applyNumberFormat="1" applyFont="1" applyBorder="1" applyAlignment="1">
      <alignment horizontal="center"/>
    </xf>
    <xf numFmtId="168" fontId="5" fillId="0" borderId="12" xfId="58" applyNumberFormat="1" applyFont="1" applyBorder="1" applyAlignment="1">
      <alignment horizontal="center"/>
    </xf>
    <xf numFmtId="170" fontId="8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5" fontId="1" fillId="0" borderId="13" xfId="0" applyNumberFormat="1" applyFont="1" applyBorder="1" applyAlignment="1">
      <alignment horizontal="center"/>
    </xf>
    <xf numFmtId="170" fontId="5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5" fontId="8" fillId="0" borderId="13" xfId="0" applyNumberFormat="1" applyFont="1" applyBorder="1" applyAlignment="1">
      <alignment horizontal="center"/>
    </xf>
    <xf numFmtId="168" fontId="1" fillId="0" borderId="13" xfId="58" applyNumberFormat="1" applyFont="1" applyBorder="1" applyAlignment="1">
      <alignment horizontal="center"/>
    </xf>
    <xf numFmtId="7" fontId="1" fillId="0" borderId="13" xfId="0" applyNumberFormat="1" applyFont="1" applyBorder="1" applyAlignment="1">
      <alignment horizontal="center"/>
    </xf>
    <xf numFmtId="10" fontId="1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Continuous"/>
    </xf>
    <xf numFmtId="0" fontId="9" fillId="0" borderId="11" xfId="0" applyFont="1" applyBorder="1" applyAlignment="1">
      <alignment/>
    </xf>
    <xf numFmtId="37" fontId="1" fillId="0" borderId="13" xfId="42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10" fontId="1" fillId="0" borderId="13" xfId="0" applyNumberFormat="1" applyFont="1" applyBorder="1" applyAlignment="1">
      <alignment/>
    </xf>
    <xf numFmtId="168" fontId="1" fillId="0" borderId="0" xfId="0" applyNumberFormat="1" applyFont="1" applyFill="1" applyAlignment="1">
      <alignment horizontal="center"/>
    </xf>
    <xf numFmtId="168" fontId="1" fillId="0" borderId="13" xfId="0" applyNumberFormat="1" applyFont="1" applyFill="1" applyBorder="1" applyAlignment="1">
      <alignment horizontal="center"/>
    </xf>
    <xf numFmtId="168" fontId="6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70" fontId="6" fillId="0" borderId="0" xfId="0" applyNumberFormat="1" applyFont="1" applyAlignment="1">
      <alignment horizontal="center"/>
    </xf>
    <xf numFmtId="168" fontId="1" fillId="0" borderId="13" xfId="0" applyNumberFormat="1" applyFont="1" applyBorder="1" applyAlignment="1">
      <alignment horizontal="center"/>
    </xf>
    <xf numFmtId="9" fontId="5" fillId="0" borderId="0" xfId="58" applyFont="1" applyAlignment="1">
      <alignment horizontal="center"/>
    </xf>
    <xf numFmtId="167" fontId="5" fillId="0" borderId="0" xfId="0" applyNumberFormat="1" applyFont="1" applyAlignment="1">
      <alignment horizontal="center"/>
    </xf>
    <xf numFmtId="176" fontId="1" fillId="0" borderId="0" xfId="0" applyNumberFormat="1" applyFont="1" applyAlignment="1">
      <alignment horizontal="center"/>
    </xf>
    <xf numFmtId="176" fontId="1" fillId="0" borderId="13" xfId="0" applyNumberFormat="1" applyFont="1" applyBorder="1" applyAlignment="1">
      <alignment horizontal="center"/>
    </xf>
    <xf numFmtId="176" fontId="6" fillId="0" borderId="0" xfId="0" applyNumberFormat="1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170" fontId="5" fillId="0" borderId="11" xfId="0" applyNumberFormat="1" applyFont="1" applyBorder="1" applyAlignment="1">
      <alignment horizontal="center"/>
    </xf>
    <xf numFmtId="170" fontId="5" fillId="0" borderId="12" xfId="0" applyNumberFormat="1" applyFont="1" applyBorder="1" applyAlignment="1">
      <alignment horizontal="center"/>
    </xf>
    <xf numFmtId="170" fontId="1" fillId="0" borderId="11" xfId="0" applyNumberFormat="1" applyFont="1" applyBorder="1" applyAlignment="1">
      <alignment horizontal="center"/>
    </xf>
    <xf numFmtId="170" fontId="1" fillId="0" borderId="12" xfId="0" applyNumberFormat="1" applyFont="1" applyBorder="1" applyAlignment="1">
      <alignment horizontal="center"/>
    </xf>
    <xf numFmtId="170" fontId="1" fillId="0" borderId="0" xfId="0" applyNumberFormat="1" applyFont="1" applyAlignment="1">
      <alignment/>
    </xf>
    <xf numFmtId="170" fontId="1" fillId="0" borderId="13" xfId="0" applyNumberFormat="1" applyFont="1" applyBorder="1" applyAlignment="1">
      <alignment/>
    </xf>
    <xf numFmtId="168" fontId="10" fillId="0" borderId="0" xfId="0" applyNumberFormat="1" applyFont="1" applyAlignment="1">
      <alignment/>
    </xf>
    <xf numFmtId="0" fontId="6" fillId="0" borderId="0" xfId="0" applyFont="1" applyAlignment="1">
      <alignment/>
    </xf>
    <xf numFmtId="9" fontId="10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10" fontId="6" fillId="0" borderId="13" xfId="0" applyNumberFormat="1" applyFont="1" applyBorder="1" applyAlignment="1">
      <alignment/>
    </xf>
    <xf numFmtId="177" fontId="10" fillId="0" borderId="0" xfId="0" applyNumberFormat="1" applyFont="1" applyAlignment="1">
      <alignment/>
    </xf>
    <xf numFmtId="10" fontId="1" fillId="0" borderId="0" xfId="58" applyNumberFormat="1" applyFont="1" applyAlignment="1">
      <alignment horizontal="center"/>
    </xf>
    <xf numFmtId="167" fontId="6" fillId="0" borderId="0" xfId="0" applyNumberFormat="1" applyFont="1" applyAlignment="1">
      <alignment horizontal="center"/>
    </xf>
    <xf numFmtId="172" fontId="1" fillId="0" borderId="0" xfId="42" applyNumberFormat="1" applyFont="1" applyAlignment="1">
      <alignment/>
    </xf>
    <xf numFmtId="172" fontId="1" fillId="0" borderId="13" xfId="42" applyNumberFormat="1" applyFont="1" applyBorder="1" applyAlignment="1">
      <alignment/>
    </xf>
    <xf numFmtId="178" fontId="6" fillId="0" borderId="0" xfId="44" applyNumberFormat="1" applyFont="1" applyAlignment="1">
      <alignment/>
    </xf>
    <xf numFmtId="0" fontId="11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5" fontId="6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170" fontId="1" fillId="0" borderId="19" xfId="0" applyNumberFormat="1" applyFont="1" applyBorder="1" applyAlignment="1">
      <alignment horizontal="center"/>
    </xf>
    <xf numFmtId="179" fontId="12" fillId="0" borderId="19" xfId="0" applyNumberFormat="1" applyFont="1" applyBorder="1" applyAlignment="1">
      <alignment horizontal="center"/>
    </xf>
    <xf numFmtId="179" fontId="1" fillId="0" borderId="0" xfId="0" applyNumberFormat="1" applyFont="1" applyAlignment="1">
      <alignment/>
    </xf>
    <xf numFmtId="180" fontId="1" fillId="0" borderId="19" xfId="0" applyNumberFormat="1" applyFont="1" applyBorder="1" applyAlignment="1">
      <alignment horizontal="center"/>
    </xf>
    <xf numFmtId="180" fontId="8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170" fontId="1" fillId="0" borderId="21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Continuous"/>
    </xf>
    <xf numFmtId="0" fontId="1" fillId="0" borderId="17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70" fontId="1" fillId="0" borderId="0" xfId="0" applyNumberFormat="1" applyFont="1" applyBorder="1" applyAlignment="1">
      <alignment horizontal="center"/>
    </xf>
    <xf numFmtId="168" fontId="1" fillId="0" borderId="0" xfId="58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180" fontId="1" fillId="0" borderId="0" xfId="0" applyNumberFormat="1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79" fontId="1" fillId="0" borderId="0" xfId="0" applyNumberFormat="1" applyFont="1" applyBorder="1" applyAlignment="1">
      <alignment horizontal="center"/>
    </xf>
    <xf numFmtId="170" fontId="8" fillId="0" borderId="0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0" xfId="0" applyFont="1" applyFill="1" applyAlignment="1">
      <alignment/>
    </xf>
    <xf numFmtId="170" fontId="3" fillId="0" borderId="24" xfId="0" applyNumberFormat="1" applyFont="1" applyFill="1" applyBorder="1" applyAlignment="1">
      <alignment horizontal="center"/>
    </xf>
    <xf numFmtId="179" fontId="3" fillId="0" borderId="24" xfId="0" applyNumberFormat="1" applyFont="1" applyBorder="1" applyAlignment="1">
      <alignment horizontal="center"/>
    </xf>
    <xf numFmtId="168" fontId="3" fillId="0" borderId="24" xfId="58" applyNumberFormat="1" applyFont="1" applyBorder="1" applyAlignment="1">
      <alignment horizontal="center"/>
    </xf>
    <xf numFmtId="0" fontId="3" fillId="0" borderId="24" xfId="0" applyFont="1" applyBorder="1" applyAlignment="1">
      <alignment/>
    </xf>
    <xf numFmtId="0" fontId="1" fillId="0" borderId="25" xfId="0" applyFont="1" applyBorder="1" applyAlignment="1">
      <alignment/>
    </xf>
    <xf numFmtId="14" fontId="1" fillId="0" borderId="0" xfId="0" applyNumberFormat="1" applyFont="1" applyAlignment="1">
      <alignment/>
    </xf>
    <xf numFmtId="15" fontId="6" fillId="0" borderId="19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181" fontId="4" fillId="0" borderId="22" xfId="0" applyNumberFormat="1" applyFont="1" applyBorder="1" applyAlignment="1">
      <alignment/>
    </xf>
    <xf numFmtId="181" fontId="4" fillId="0" borderId="17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170" fontId="6" fillId="0" borderId="0" xfId="0" applyNumberFormat="1" applyFont="1" applyBorder="1" applyAlignment="1">
      <alignment/>
    </xf>
    <xf numFmtId="170" fontId="6" fillId="0" borderId="19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180" fontId="6" fillId="0" borderId="19" xfId="0" applyNumberFormat="1" applyFont="1" applyBorder="1" applyAlignment="1">
      <alignment/>
    </xf>
    <xf numFmtId="179" fontId="8" fillId="0" borderId="19" xfId="0" applyNumberFormat="1" applyFont="1" applyBorder="1" applyAlignment="1">
      <alignment horizontal="center"/>
    </xf>
    <xf numFmtId="180" fontId="12" fillId="0" borderId="0" xfId="0" applyNumberFormat="1" applyFont="1" applyBorder="1" applyAlignment="1">
      <alignment/>
    </xf>
    <xf numFmtId="180" fontId="8" fillId="0" borderId="19" xfId="0" applyNumberFormat="1" applyFont="1" applyBorder="1" applyAlignment="1">
      <alignment/>
    </xf>
    <xf numFmtId="170" fontId="1" fillId="0" borderId="11" xfId="0" applyNumberFormat="1" applyFont="1" applyBorder="1" applyAlignment="1">
      <alignment/>
    </xf>
    <xf numFmtId="170" fontId="1" fillId="0" borderId="21" xfId="0" applyNumberFormat="1" applyFont="1" applyBorder="1" applyAlignment="1">
      <alignment/>
    </xf>
    <xf numFmtId="168" fontId="1" fillId="0" borderId="19" xfId="0" applyNumberFormat="1" applyFont="1" applyBorder="1" applyAlignment="1">
      <alignment horizontal="center"/>
    </xf>
    <xf numFmtId="180" fontId="1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/>
    </xf>
    <xf numFmtId="0" fontId="3" fillId="0" borderId="0" xfId="0" applyFont="1" applyFill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Alignment="1" quotePrefix="1">
      <alignment/>
    </xf>
    <xf numFmtId="0" fontId="8" fillId="0" borderId="16" xfId="0" applyFont="1" applyBorder="1" applyAlignment="1">
      <alignment/>
    </xf>
    <xf numFmtId="0" fontId="1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79" fontId="1" fillId="0" borderId="19" xfId="0" applyNumberFormat="1" applyFont="1" applyBorder="1" applyAlignment="1">
      <alignment horizontal="center"/>
    </xf>
    <xf numFmtId="0" fontId="14" fillId="0" borderId="0" xfId="55" applyFont="1" applyBorder="1">
      <alignment/>
      <protection/>
    </xf>
    <xf numFmtId="0" fontId="14" fillId="0" borderId="19" xfId="55" applyFont="1" applyBorder="1">
      <alignment/>
      <protection/>
    </xf>
    <xf numFmtId="0" fontId="14" fillId="0" borderId="0" xfId="55" applyFont="1">
      <alignment/>
      <protection/>
    </xf>
    <xf numFmtId="179" fontId="1" fillId="0" borderId="11" xfId="0" applyNumberFormat="1" applyFont="1" applyBorder="1" applyAlignment="1">
      <alignment horizontal="center"/>
    </xf>
    <xf numFmtId="179" fontId="1" fillId="0" borderId="21" xfId="0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170" fontId="1" fillId="0" borderId="0" xfId="0" applyNumberFormat="1" applyFont="1" applyAlignment="1">
      <alignment horizontal="right"/>
    </xf>
    <xf numFmtId="170" fontId="6" fillId="0" borderId="0" xfId="0" applyNumberFormat="1" applyFont="1" applyAlignment="1">
      <alignment horizontal="right"/>
    </xf>
    <xf numFmtId="170" fontId="1" fillId="0" borderId="26" xfId="0" applyNumberFormat="1" applyFont="1" applyBorder="1" applyAlignment="1">
      <alignment horizontal="right"/>
    </xf>
    <xf numFmtId="180" fontId="1" fillId="0" borderId="0" xfId="0" applyNumberFormat="1" applyFont="1" applyAlignment="1">
      <alignment horizontal="right"/>
    </xf>
    <xf numFmtId="180" fontId="6" fillId="0" borderId="0" xfId="0" applyNumberFormat="1" applyFont="1" applyAlignment="1">
      <alignment horizontal="right"/>
    </xf>
    <xf numFmtId="180" fontId="8" fillId="0" borderId="0" xfId="0" applyNumberFormat="1" applyFont="1" applyAlignment="1">
      <alignment horizontal="right"/>
    </xf>
    <xf numFmtId="180" fontId="12" fillId="0" borderId="0" xfId="0" applyNumberFormat="1" applyFont="1" applyAlignment="1">
      <alignment horizontal="right"/>
    </xf>
    <xf numFmtId="0" fontId="3" fillId="0" borderId="0" xfId="0" applyFont="1" applyBorder="1" applyAlignment="1">
      <alignment/>
    </xf>
    <xf numFmtId="170" fontId="3" fillId="0" borderId="0" xfId="0" applyNumberFormat="1" applyFont="1" applyAlignment="1">
      <alignment horizontal="right"/>
    </xf>
    <xf numFmtId="170" fontId="3" fillId="0" borderId="26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indent="1"/>
    </xf>
    <xf numFmtId="170" fontId="8" fillId="0" borderId="0" xfId="0" applyNumberFormat="1" applyFont="1" applyAlignment="1">
      <alignment horizontal="right"/>
    </xf>
    <xf numFmtId="170" fontId="12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/>
    </xf>
    <xf numFmtId="170" fontId="5" fillId="0" borderId="11" xfId="0" applyNumberFormat="1" applyFont="1" applyBorder="1" applyAlignment="1">
      <alignment horizontal="right"/>
    </xf>
    <xf numFmtId="170" fontId="1" fillId="0" borderId="11" xfId="0" applyNumberFormat="1" applyFont="1" applyBorder="1" applyAlignment="1">
      <alignment horizontal="right"/>
    </xf>
    <xf numFmtId="170" fontId="5" fillId="0" borderId="27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left"/>
    </xf>
    <xf numFmtId="7" fontId="1" fillId="0" borderId="0" xfId="0" applyNumberFormat="1" applyFont="1" applyAlignment="1">
      <alignment horizontal="left" indent="1"/>
    </xf>
    <xf numFmtId="180" fontId="1" fillId="0" borderId="11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Continuous"/>
    </xf>
    <xf numFmtId="0" fontId="3" fillId="0" borderId="28" xfId="0" applyFont="1" applyBorder="1" applyAlignment="1">
      <alignment horizontal="centerContinuous"/>
    </xf>
    <xf numFmtId="165" fontId="4" fillId="0" borderId="29" xfId="0" applyNumberFormat="1" applyFont="1" applyBorder="1" applyAlignment="1">
      <alignment horizontal="center"/>
    </xf>
    <xf numFmtId="170" fontId="1" fillId="0" borderId="29" xfId="0" applyNumberFormat="1" applyFont="1" applyBorder="1" applyAlignment="1">
      <alignment horizontal="center"/>
    </xf>
    <xf numFmtId="170" fontId="1" fillId="0" borderId="29" xfId="0" applyNumberFormat="1" applyFont="1" applyFill="1" applyBorder="1" applyAlignment="1">
      <alignment horizontal="center"/>
    </xf>
    <xf numFmtId="170" fontId="8" fillId="0" borderId="29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5" fontId="1" fillId="0" borderId="29" xfId="0" applyNumberFormat="1" applyFont="1" applyBorder="1" applyAlignment="1">
      <alignment horizontal="center"/>
    </xf>
    <xf numFmtId="170" fontId="5" fillId="0" borderId="29" xfId="0" applyNumberFormat="1" applyFont="1" applyBorder="1" applyAlignment="1">
      <alignment horizontal="center"/>
    </xf>
    <xf numFmtId="165" fontId="4" fillId="32" borderId="29" xfId="0" applyNumberFormat="1" applyFont="1" applyFill="1" applyBorder="1" applyAlignment="1">
      <alignment horizontal="center"/>
    </xf>
    <xf numFmtId="170" fontId="1" fillId="32" borderId="29" xfId="0" applyNumberFormat="1" applyFont="1" applyFill="1" applyBorder="1" applyAlignment="1">
      <alignment horizontal="center"/>
    </xf>
    <xf numFmtId="168" fontId="5" fillId="32" borderId="29" xfId="58" applyNumberFormat="1" applyFont="1" applyFill="1" applyBorder="1" applyAlignment="1">
      <alignment horizontal="center"/>
    </xf>
    <xf numFmtId="170" fontId="5" fillId="32" borderId="28" xfId="58" applyNumberFormat="1" applyFont="1" applyFill="1" applyBorder="1" applyAlignment="1">
      <alignment horizontal="center"/>
    </xf>
    <xf numFmtId="168" fontId="5" fillId="32" borderId="28" xfId="58" applyNumberFormat="1" applyFont="1" applyFill="1" applyBorder="1" applyAlignment="1">
      <alignment horizontal="center"/>
    </xf>
    <xf numFmtId="170" fontId="8" fillId="32" borderId="29" xfId="0" applyNumberFormat="1" applyFont="1" applyFill="1" applyBorder="1" applyAlignment="1">
      <alignment horizontal="center"/>
    </xf>
    <xf numFmtId="5" fontId="1" fillId="32" borderId="29" xfId="0" applyNumberFormat="1" applyFont="1" applyFill="1" applyBorder="1" applyAlignment="1">
      <alignment horizontal="center"/>
    </xf>
    <xf numFmtId="0" fontId="1" fillId="32" borderId="29" xfId="0" applyFont="1" applyFill="1" applyBorder="1" applyAlignment="1">
      <alignment/>
    </xf>
    <xf numFmtId="5" fontId="8" fillId="32" borderId="29" xfId="0" applyNumberFormat="1" applyFont="1" applyFill="1" applyBorder="1" applyAlignment="1">
      <alignment horizontal="center"/>
    </xf>
    <xf numFmtId="0" fontId="1" fillId="32" borderId="29" xfId="0" applyFont="1" applyFill="1" applyBorder="1" applyAlignment="1">
      <alignment horizontal="center"/>
    </xf>
    <xf numFmtId="170" fontId="1" fillId="32" borderId="28" xfId="0" applyNumberFormat="1" applyFont="1" applyFill="1" applyBorder="1" applyAlignment="1">
      <alignment horizontal="center"/>
    </xf>
    <xf numFmtId="168" fontId="1" fillId="32" borderId="29" xfId="58" applyNumberFormat="1" applyFont="1" applyFill="1" applyBorder="1" applyAlignment="1">
      <alignment horizontal="center"/>
    </xf>
    <xf numFmtId="7" fontId="1" fillId="32" borderId="29" xfId="0" applyNumberFormat="1" applyFont="1" applyFill="1" applyBorder="1" applyAlignment="1">
      <alignment horizontal="center"/>
    </xf>
    <xf numFmtId="10" fontId="1" fillId="32" borderId="29" xfId="0" applyNumberFormat="1" applyFont="1" applyFill="1" applyBorder="1" applyAlignment="1">
      <alignment horizontal="center"/>
    </xf>
    <xf numFmtId="9" fontId="1" fillId="32" borderId="29" xfId="58" applyFont="1" applyFill="1" applyBorder="1" applyAlignment="1">
      <alignment horizontal="center"/>
    </xf>
    <xf numFmtId="170" fontId="1" fillId="32" borderId="29" xfId="0" applyNumberFormat="1" applyFont="1" applyFill="1" applyBorder="1" applyAlignment="1">
      <alignment/>
    </xf>
    <xf numFmtId="10" fontId="1" fillId="0" borderId="13" xfId="58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168" fontId="1" fillId="0" borderId="19" xfId="58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3" fillId="0" borderId="0" xfId="0" applyFont="1" applyAlignment="1">
      <alignment/>
    </xf>
    <xf numFmtId="168" fontId="6" fillId="0" borderId="19" xfId="0" applyNumberFormat="1" applyFont="1" applyBorder="1" applyAlignment="1">
      <alignment horizontal="center"/>
    </xf>
    <xf numFmtId="170" fontId="1" fillId="0" borderId="26" xfId="0" applyNumberFormat="1" applyFont="1" applyFill="1" applyBorder="1" applyAlignment="1">
      <alignment horizontal="right"/>
    </xf>
    <xf numFmtId="180" fontId="1" fillId="0" borderId="26" xfId="0" applyNumberFormat="1" applyFont="1" applyFill="1" applyBorder="1" applyAlignment="1">
      <alignment horizontal="right"/>
    </xf>
    <xf numFmtId="180" fontId="8" fillId="0" borderId="26" xfId="0" applyNumberFormat="1" applyFont="1" applyFill="1" applyBorder="1" applyAlignment="1">
      <alignment horizontal="right"/>
    </xf>
    <xf numFmtId="170" fontId="3" fillId="0" borderId="26" xfId="0" applyNumberFormat="1" applyFont="1" applyFill="1" applyBorder="1" applyAlignment="1">
      <alignment horizontal="right"/>
    </xf>
    <xf numFmtId="170" fontId="8" fillId="0" borderId="26" xfId="0" applyNumberFormat="1" applyFont="1" applyFill="1" applyBorder="1" applyAlignment="1">
      <alignment horizontal="right"/>
    </xf>
    <xf numFmtId="170" fontId="3" fillId="0" borderId="0" xfId="0" applyNumberFormat="1" applyFont="1" applyFill="1" applyAlignment="1">
      <alignment horizontal="right"/>
    </xf>
    <xf numFmtId="0" fontId="11" fillId="0" borderId="11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180" fontId="6" fillId="0" borderId="19" xfId="0" applyNumberFormat="1" applyFont="1" applyFill="1" applyBorder="1" applyAlignment="1">
      <alignment horizontal="center"/>
    </xf>
    <xf numFmtId="170" fontId="8" fillId="0" borderId="19" xfId="0" applyNumberFormat="1" applyFont="1" applyBorder="1" applyAlignment="1">
      <alignment horizontal="center"/>
    </xf>
    <xf numFmtId="180" fontId="1" fillId="0" borderId="0" xfId="0" applyNumberFormat="1" applyFont="1" applyFill="1" applyBorder="1" applyAlignment="1">
      <alignment horizontal="center"/>
    </xf>
    <xf numFmtId="179" fontId="6" fillId="0" borderId="0" xfId="0" applyNumberFormat="1" applyFont="1" applyFill="1" applyBorder="1" applyAlignment="1">
      <alignment horizontal="center"/>
    </xf>
    <xf numFmtId="168" fontId="1" fillId="0" borderId="0" xfId="58" applyNumberFormat="1" applyFont="1" applyFill="1" applyBorder="1" applyAlignment="1">
      <alignment horizontal="center"/>
    </xf>
    <xf numFmtId="168" fontId="6" fillId="0" borderId="0" xfId="0" applyNumberFormat="1" applyFont="1" applyFill="1" applyBorder="1" applyAlignment="1">
      <alignment horizontal="center"/>
    </xf>
    <xf numFmtId="180" fontId="8" fillId="0" borderId="0" xfId="0" applyNumberFormat="1" applyFont="1" applyFill="1" applyBorder="1" applyAlignment="1">
      <alignment horizontal="center"/>
    </xf>
    <xf numFmtId="179" fontId="12" fillId="0" borderId="0" xfId="0" applyNumberFormat="1" applyFont="1" applyFill="1" applyBorder="1" applyAlignment="1">
      <alignment horizontal="center"/>
    </xf>
    <xf numFmtId="168" fontId="8" fillId="0" borderId="0" xfId="58" applyNumberFormat="1" applyFont="1" applyFill="1" applyBorder="1" applyAlignment="1">
      <alignment horizontal="center"/>
    </xf>
    <xf numFmtId="179" fontId="1" fillId="0" borderId="0" xfId="0" applyNumberFormat="1" applyFont="1" applyFill="1" applyBorder="1" applyAlignment="1">
      <alignment horizontal="center"/>
    </xf>
    <xf numFmtId="180" fontId="12" fillId="0" borderId="0" xfId="0" applyNumberFormat="1" applyFont="1" applyFill="1" applyBorder="1" applyAlignment="1">
      <alignment horizontal="center"/>
    </xf>
    <xf numFmtId="179" fontId="8" fillId="0" borderId="0" xfId="0" applyNumberFormat="1" applyFont="1" applyFill="1" applyBorder="1" applyAlignment="1">
      <alignment horizontal="center"/>
    </xf>
    <xf numFmtId="170" fontId="1" fillId="0" borderId="19" xfId="0" applyNumberFormat="1" applyFont="1" applyFill="1" applyBorder="1" applyAlignment="1">
      <alignment horizontal="center"/>
    </xf>
    <xf numFmtId="180" fontId="12" fillId="0" borderId="19" xfId="0" applyNumberFormat="1" applyFont="1" applyFill="1" applyBorder="1" applyAlignment="1">
      <alignment horizontal="center"/>
    </xf>
    <xf numFmtId="170" fontId="3" fillId="0" borderId="25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Continuous"/>
    </xf>
    <xf numFmtId="0" fontId="3" fillId="33" borderId="17" xfId="0" applyFont="1" applyFill="1" applyBorder="1" applyAlignment="1">
      <alignment horizontal="centerContinuous"/>
    </xf>
    <xf numFmtId="0" fontId="3" fillId="33" borderId="23" xfId="0" applyFont="1" applyFill="1" applyBorder="1" applyAlignment="1">
      <alignment horizontal="centerContinuous"/>
    </xf>
    <xf numFmtId="0" fontId="3" fillId="33" borderId="25" xfId="0" applyFont="1" applyFill="1" applyBorder="1" applyAlignment="1">
      <alignment horizontal="centerContinuous"/>
    </xf>
    <xf numFmtId="0" fontId="3" fillId="33" borderId="24" xfId="0" applyFont="1" applyFill="1" applyBorder="1" applyAlignment="1">
      <alignment horizontal="centerContinuous"/>
    </xf>
    <xf numFmtId="0" fontId="3" fillId="33" borderId="23" xfId="0" applyFont="1" applyFill="1" applyBorder="1" applyAlignment="1">
      <alignment/>
    </xf>
    <xf numFmtId="168" fontId="3" fillId="33" borderId="25" xfId="0" applyNumberFormat="1" applyFont="1" applyFill="1" applyBorder="1" applyAlignment="1">
      <alignment/>
    </xf>
    <xf numFmtId="180" fontId="1" fillId="0" borderId="19" xfId="0" applyNumberFormat="1" applyFont="1" applyFill="1" applyBorder="1" applyAlignment="1">
      <alignment horizontal="center"/>
    </xf>
    <xf numFmtId="180" fontId="1" fillId="0" borderId="19" xfId="0" applyNumberFormat="1" applyFont="1" applyFill="1" applyBorder="1" applyAlignment="1">
      <alignment/>
    </xf>
    <xf numFmtId="170" fontId="6" fillId="0" borderId="0" xfId="0" applyNumberFormat="1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GS LBO Clean_6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0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25.421875" style="1" customWidth="1"/>
    <col min="2" max="2" width="11.8515625" style="1" bestFit="1" customWidth="1"/>
    <col min="3" max="3" width="9.28125" style="1" bestFit="1" customWidth="1"/>
    <col min="4" max="4" width="30.140625" style="1" customWidth="1"/>
    <col min="5" max="6" width="10.140625" style="1" bestFit="1" customWidth="1"/>
    <col min="7" max="7" width="9.28125" style="1" bestFit="1" customWidth="1"/>
    <col min="8" max="8" width="11.421875" style="1" bestFit="1" customWidth="1"/>
    <col min="9" max="10" width="9.28125" style="1" bestFit="1" customWidth="1"/>
    <col min="11" max="11" width="13.140625" style="1" customWidth="1"/>
    <col min="12" max="12" width="9.140625" style="1" customWidth="1"/>
  </cols>
  <sheetData>
    <row r="1" spans="1:12" ht="17.25" thickBot="1">
      <c r="A1" s="92" t="s">
        <v>117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/>
    </row>
    <row r="2" spans="1:12" ht="12.75">
      <c r="A2" s="4" t="s">
        <v>2</v>
      </c>
      <c r="L2"/>
    </row>
    <row r="4" spans="1:2" ht="12.75">
      <c r="A4" s="239" t="s">
        <v>118</v>
      </c>
      <c r="B4" s="240"/>
    </row>
    <row r="5" spans="1:2" ht="12.75">
      <c r="A5" s="94" t="s">
        <v>119</v>
      </c>
      <c r="B5" s="95">
        <v>39813</v>
      </c>
    </row>
    <row r="6" spans="1:2" ht="12.75">
      <c r="A6" s="96" t="s">
        <v>219</v>
      </c>
      <c r="B6" s="97">
        <f>Model!G25</f>
        <v>60</v>
      </c>
    </row>
    <row r="7" spans="1:8" ht="12.75">
      <c r="A7" s="96" t="s">
        <v>120</v>
      </c>
      <c r="B7" s="98">
        <v>6</v>
      </c>
      <c r="H7" s="99"/>
    </row>
    <row r="8" spans="1:2" ht="12.75">
      <c r="A8" s="96" t="s">
        <v>230</v>
      </c>
      <c r="B8" s="97">
        <f>B6*B7</f>
        <v>360</v>
      </c>
    </row>
    <row r="9" spans="1:2" ht="12.75">
      <c r="A9" s="96" t="s">
        <v>231</v>
      </c>
      <c r="B9" s="97">
        <f>-SUM(Model!G68:G70)</f>
        <v>-190.7555004580771</v>
      </c>
    </row>
    <row r="10" spans="1:2" ht="12.75">
      <c r="A10" s="96" t="s">
        <v>232</v>
      </c>
      <c r="B10" s="225">
        <f>+Model!G47</f>
        <v>0</v>
      </c>
    </row>
    <row r="11" spans="1:2" ht="12.75">
      <c r="A11" s="102" t="s">
        <v>229</v>
      </c>
      <c r="B11" s="103">
        <f>SUM(B8:B10)</f>
        <v>169.2444995419229</v>
      </c>
    </row>
    <row r="12" ht="12.75">
      <c r="B12" s="19"/>
    </row>
    <row r="13" spans="1:11" ht="12.75">
      <c r="A13" s="241" t="s">
        <v>122</v>
      </c>
      <c r="B13" s="242"/>
      <c r="D13" s="241" t="s">
        <v>123</v>
      </c>
      <c r="E13" s="243"/>
      <c r="F13" s="243"/>
      <c r="G13" s="243"/>
      <c r="H13" s="243"/>
      <c r="I13" s="243"/>
      <c r="J13" s="243"/>
      <c r="K13" s="242"/>
    </row>
    <row r="14" spans="1:11" ht="12.75">
      <c r="A14" s="94"/>
      <c r="B14" s="104"/>
      <c r="D14" s="94"/>
      <c r="E14" s="105"/>
      <c r="F14" s="105" t="s">
        <v>124</v>
      </c>
      <c r="G14" s="105" t="s">
        <v>29</v>
      </c>
      <c r="H14" s="105" t="s">
        <v>125</v>
      </c>
      <c r="I14" s="106" t="s">
        <v>85</v>
      </c>
      <c r="J14" s="106"/>
      <c r="K14" s="107" t="s">
        <v>126</v>
      </c>
    </row>
    <row r="15" spans="1:11" ht="12.75">
      <c r="A15" s="108" t="s">
        <v>127</v>
      </c>
      <c r="B15" s="97"/>
      <c r="D15" s="108" t="s">
        <v>128</v>
      </c>
      <c r="E15" s="109"/>
      <c r="F15" s="109" t="s">
        <v>129</v>
      </c>
      <c r="G15" s="109" t="s">
        <v>130</v>
      </c>
      <c r="H15" s="109" t="s">
        <v>128</v>
      </c>
      <c r="I15" s="109" t="s">
        <v>131</v>
      </c>
      <c r="J15" s="109" t="s">
        <v>132</v>
      </c>
      <c r="K15" s="110" t="s">
        <v>133</v>
      </c>
    </row>
    <row r="16" spans="1:11" ht="12.75">
      <c r="A16" s="223" t="s">
        <v>121</v>
      </c>
      <c r="B16" s="236">
        <f>+B11</f>
        <v>169.2444995419229</v>
      </c>
      <c r="D16" s="96" t="s">
        <v>32</v>
      </c>
      <c r="E16" s="16"/>
      <c r="F16" s="111">
        <f>+B10</f>
        <v>0</v>
      </c>
      <c r="G16" s="117">
        <f>F16/B6</f>
        <v>0</v>
      </c>
      <c r="H16" s="112">
        <f aca="true" t="shared" si="0" ref="H16:H23">F16/$F$23</f>
        <v>0</v>
      </c>
      <c r="I16" s="16"/>
      <c r="J16" s="16"/>
      <c r="K16" s="113"/>
    </row>
    <row r="17" spans="1:11" ht="12.75">
      <c r="A17" s="34" t="s">
        <v>220</v>
      </c>
      <c r="B17" s="236">
        <f>SUM(Model!G68:G70)</f>
        <v>190.7555004580771</v>
      </c>
      <c r="D17" s="96" t="s">
        <v>86</v>
      </c>
      <c r="E17" s="111"/>
      <c r="F17" s="226">
        <f>+F23-F22-F20-F19-F18-F16</f>
        <v>0</v>
      </c>
      <c r="G17" s="117">
        <f>F17/B6</f>
        <v>0</v>
      </c>
      <c r="H17" s="112">
        <f t="shared" si="0"/>
        <v>0</v>
      </c>
      <c r="I17" s="115">
        <v>0.07</v>
      </c>
      <c r="J17" s="115">
        <v>0</v>
      </c>
      <c r="K17" s="116" t="s">
        <v>4</v>
      </c>
    </row>
    <row r="18" spans="1:11" ht="12.75">
      <c r="A18" s="223" t="s">
        <v>134</v>
      </c>
      <c r="B18" s="224">
        <v>8</v>
      </c>
      <c r="D18" s="96" t="s">
        <v>54</v>
      </c>
      <c r="E18" s="111"/>
      <c r="F18" s="226">
        <f>G18*$B$6</f>
        <v>120</v>
      </c>
      <c r="G18" s="227">
        <v>2</v>
      </c>
      <c r="H18" s="228">
        <f t="shared" si="0"/>
        <v>0.32085561497326204</v>
      </c>
      <c r="I18" s="229">
        <v>0.075</v>
      </c>
      <c r="J18" s="229">
        <v>0</v>
      </c>
      <c r="K18" s="116" t="s">
        <v>4</v>
      </c>
    </row>
    <row r="19" spans="1:11" ht="12.75">
      <c r="A19" s="223" t="s">
        <v>135</v>
      </c>
      <c r="B19" s="224">
        <v>4</v>
      </c>
      <c r="D19" s="223" t="s">
        <v>222</v>
      </c>
      <c r="E19" s="111"/>
      <c r="F19" s="226">
        <f>G19*$B$6</f>
        <v>90</v>
      </c>
      <c r="G19" s="227">
        <v>1.5</v>
      </c>
      <c r="H19" s="228">
        <f t="shared" si="0"/>
        <v>0.24064171122994651</v>
      </c>
      <c r="I19" s="229">
        <v>0.095</v>
      </c>
      <c r="J19" s="229">
        <v>0</v>
      </c>
      <c r="K19" s="116" t="s">
        <v>4</v>
      </c>
    </row>
    <row r="20" spans="1:11" ht="12.75">
      <c r="A20" s="223" t="s">
        <v>136</v>
      </c>
      <c r="B20" s="224">
        <v>1</v>
      </c>
      <c r="D20" s="96" t="s">
        <v>138</v>
      </c>
      <c r="E20" s="118"/>
      <c r="F20" s="230">
        <f>G20*$B$6</f>
        <v>60</v>
      </c>
      <c r="G20" s="231">
        <v>1</v>
      </c>
      <c r="H20" s="232">
        <f t="shared" si="0"/>
        <v>0.16042780748663102</v>
      </c>
      <c r="I20" s="229">
        <v>0</v>
      </c>
      <c r="J20" s="229">
        <v>0.1</v>
      </c>
      <c r="K20" s="215">
        <v>0.05</v>
      </c>
    </row>
    <row r="21" spans="1:11" ht="12.75">
      <c r="A21" s="223" t="s">
        <v>137</v>
      </c>
      <c r="B21" s="237">
        <v>1</v>
      </c>
      <c r="D21" s="96" t="s">
        <v>139</v>
      </c>
      <c r="E21" s="111"/>
      <c r="F21" s="226">
        <f>SUM(F17:F20)</f>
        <v>270</v>
      </c>
      <c r="G21" s="233">
        <f>SUM(G18:G20)</f>
        <v>4.5</v>
      </c>
      <c r="H21" s="228">
        <f t="shared" si="0"/>
        <v>0.7219251336898396</v>
      </c>
      <c r="I21" s="17"/>
      <c r="J21" s="17"/>
      <c r="K21" s="119"/>
    </row>
    <row r="22" spans="1:11" ht="12.75">
      <c r="A22" s="223"/>
      <c r="B22" s="237"/>
      <c r="D22" s="96" t="s">
        <v>140</v>
      </c>
      <c r="E22" s="118"/>
      <c r="F22" s="234">
        <v>104</v>
      </c>
      <c r="G22" s="235"/>
      <c r="H22" s="232">
        <f t="shared" si="0"/>
        <v>0.27807486631016043</v>
      </c>
      <c r="I22" s="17"/>
      <c r="J22" s="17"/>
      <c r="K22" s="113"/>
    </row>
    <row r="23" spans="1:11" ht="12.75">
      <c r="A23" s="120" t="s">
        <v>141</v>
      </c>
      <c r="B23" s="238">
        <f>SUM(B16:B21)</f>
        <v>374</v>
      </c>
      <c r="C23" s="121"/>
      <c r="D23" s="120" t="s">
        <v>142</v>
      </c>
      <c r="E23" s="122"/>
      <c r="F23" s="122">
        <f>B23</f>
        <v>374</v>
      </c>
      <c r="G23" s="123"/>
      <c r="H23" s="124">
        <f t="shared" si="0"/>
        <v>1</v>
      </c>
      <c r="I23" s="125"/>
      <c r="J23" s="125"/>
      <c r="K23" s="126"/>
    </row>
    <row r="24" ht="12.75">
      <c r="D24" s="79"/>
    </row>
    <row r="25" spans="1:11" ht="13.5" thickBot="1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</row>
    <row r="27" spans="5:9" ht="12.75">
      <c r="E27" s="127"/>
      <c r="F27" s="127"/>
      <c r="G27" s="127"/>
      <c r="H27" s="127"/>
      <c r="I27" s="127"/>
    </row>
    <row r="28" spans="1:2" ht="12.75">
      <c r="A28" s="241" t="s">
        <v>242</v>
      </c>
      <c r="B28" s="242"/>
    </row>
    <row r="29" spans="1:10" ht="12.75">
      <c r="A29" s="96" t="s">
        <v>119</v>
      </c>
      <c r="B29" s="128">
        <v>41639</v>
      </c>
      <c r="D29" s="129" t="s">
        <v>143</v>
      </c>
      <c r="E29" s="130">
        <f>B5</f>
        <v>39813</v>
      </c>
      <c r="F29" s="130">
        <v>40178</v>
      </c>
      <c r="G29" s="130">
        <v>40543</v>
      </c>
      <c r="H29" s="130">
        <v>40908</v>
      </c>
      <c r="I29" s="130">
        <v>41274</v>
      </c>
      <c r="J29" s="131">
        <v>41639</v>
      </c>
    </row>
    <row r="30" spans="1:10" ht="12.75">
      <c r="A30" s="96"/>
      <c r="B30" s="128"/>
      <c r="D30" s="96" t="s">
        <v>144</v>
      </c>
      <c r="E30" s="132">
        <f>-F22</f>
        <v>-104</v>
      </c>
      <c r="F30" s="133">
        <v>0</v>
      </c>
      <c r="G30" s="133">
        <v>0</v>
      </c>
      <c r="H30" s="133">
        <v>0</v>
      </c>
      <c r="I30" s="133">
        <v>0</v>
      </c>
      <c r="J30" s="134">
        <v>0</v>
      </c>
    </row>
    <row r="31" spans="1:10" ht="12.75">
      <c r="A31" s="96" t="s">
        <v>145</v>
      </c>
      <c r="B31" s="97">
        <f>Model!M25</f>
        <v>76.57689375000002</v>
      </c>
      <c r="D31" s="96" t="s">
        <v>146</v>
      </c>
      <c r="E31" s="135">
        <v>0</v>
      </c>
      <c r="F31" s="135">
        <v>0</v>
      </c>
      <c r="G31" s="135">
        <v>0</v>
      </c>
      <c r="H31" s="135">
        <v>0</v>
      </c>
      <c r="I31" s="135">
        <v>0</v>
      </c>
      <c r="J31" s="136">
        <v>0</v>
      </c>
    </row>
    <row r="32" spans="1:10" ht="12.75">
      <c r="A32" s="96" t="s">
        <v>120</v>
      </c>
      <c r="B32" s="137">
        <f>B7</f>
        <v>6</v>
      </c>
      <c r="D32" s="96" t="s">
        <v>147</v>
      </c>
      <c r="E32" s="138">
        <v>0</v>
      </c>
      <c r="F32" s="138">
        <v>0</v>
      </c>
      <c r="G32" s="138">
        <v>0</v>
      </c>
      <c r="H32" s="138">
        <v>0</v>
      </c>
      <c r="I32" s="138">
        <v>0</v>
      </c>
      <c r="J32" s="139">
        <f>B39</f>
        <v>272.9219263676471</v>
      </c>
    </row>
    <row r="33" spans="1:10" ht="12.75">
      <c r="A33" s="96" t="s">
        <v>228</v>
      </c>
      <c r="B33" s="97">
        <f>B31*B32</f>
        <v>459.4613625000002</v>
      </c>
      <c r="D33" s="102" t="s">
        <v>148</v>
      </c>
      <c r="E33" s="140">
        <f aca="true" t="shared" si="1" ref="E33:J33">SUM(E30:E32)</f>
        <v>-104</v>
      </c>
      <c r="F33" s="140">
        <f t="shared" si="1"/>
        <v>0</v>
      </c>
      <c r="G33" s="140">
        <f t="shared" si="1"/>
        <v>0</v>
      </c>
      <c r="H33" s="140">
        <f t="shared" si="1"/>
        <v>0</v>
      </c>
      <c r="I33" s="140">
        <f t="shared" si="1"/>
        <v>0</v>
      </c>
      <c r="J33" s="141">
        <f t="shared" si="1"/>
        <v>272.9219263676471</v>
      </c>
    </row>
    <row r="34" spans="1:9" ht="12.75">
      <c r="A34" s="96" t="s">
        <v>149</v>
      </c>
      <c r="B34" s="246">
        <f>-SUM(Model!M73:M76)</f>
        <v>-186.63060000000002</v>
      </c>
      <c r="D34" s="244" t="s">
        <v>150</v>
      </c>
      <c r="E34" s="245" t="e">
        <f>#N/A</f>
        <v>#N/A</v>
      </c>
      <c r="F34"/>
      <c r="G34"/>
      <c r="H34"/>
      <c r="I34"/>
    </row>
    <row r="35" spans="1:2" ht="12.75">
      <c r="A35" s="96" t="s">
        <v>151</v>
      </c>
      <c r="B35" s="100">
        <f>Model!M47</f>
        <v>21.050089406733633</v>
      </c>
    </row>
    <row r="36" spans="1:10" ht="15">
      <c r="A36" s="96" t="s">
        <v>152</v>
      </c>
      <c r="B36" s="101">
        <f>-B33*0.01-2</f>
        <v>-6.594613625000002</v>
      </c>
      <c r="D36" s="129" t="s">
        <v>153</v>
      </c>
      <c r="E36" s="130">
        <f>B5</f>
        <v>39813</v>
      </c>
      <c r="F36" s="130">
        <v>40178</v>
      </c>
      <c r="G36" s="130">
        <v>40543</v>
      </c>
      <c r="H36" s="130">
        <v>40908</v>
      </c>
      <c r="I36" s="130">
        <v>41274</v>
      </c>
      <c r="J36" s="131">
        <v>41639</v>
      </c>
    </row>
    <row r="37" spans="1:10" ht="12.75">
      <c r="A37" s="96" t="s">
        <v>154</v>
      </c>
      <c r="B37" s="97">
        <f>SUM(B33:B36)</f>
        <v>287.2862382817338</v>
      </c>
      <c r="D37" s="96" t="s">
        <v>155</v>
      </c>
      <c r="E37" s="132">
        <f>-F20</f>
        <v>-60</v>
      </c>
      <c r="F37" s="133">
        <v>0</v>
      </c>
      <c r="G37" s="133">
        <v>0</v>
      </c>
      <c r="H37" s="133">
        <v>0</v>
      </c>
      <c r="I37" s="133">
        <v>0</v>
      </c>
      <c r="J37" s="134">
        <v>0</v>
      </c>
    </row>
    <row r="38" spans="1:10" ht="12.75">
      <c r="A38" s="96" t="s">
        <v>156</v>
      </c>
      <c r="B38" s="142">
        <f>1-K20</f>
        <v>0.95</v>
      </c>
      <c r="D38" s="96" t="s">
        <v>157</v>
      </c>
      <c r="E38" s="135">
        <v>0</v>
      </c>
      <c r="F38" s="143">
        <f>Model!I152</f>
        <v>0</v>
      </c>
      <c r="G38" s="143">
        <f>Model!J152</f>
        <v>0</v>
      </c>
      <c r="H38" s="143">
        <f>Model!K152</f>
        <v>0</v>
      </c>
      <c r="I38" s="143">
        <f>Model!L152</f>
        <v>0</v>
      </c>
      <c r="J38" s="247">
        <f>Model!M152</f>
        <v>0</v>
      </c>
    </row>
    <row r="39" spans="1:10" ht="12.75">
      <c r="A39" s="96" t="s">
        <v>158</v>
      </c>
      <c r="B39" s="97">
        <f>B37*B38</f>
        <v>272.9219263676471</v>
      </c>
      <c r="D39" s="96" t="s">
        <v>159</v>
      </c>
      <c r="E39" s="135">
        <v>0</v>
      </c>
      <c r="F39" s="135">
        <v>0</v>
      </c>
      <c r="G39" s="135">
        <v>0</v>
      </c>
      <c r="H39" s="135">
        <v>0</v>
      </c>
      <c r="I39" s="135">
        <v>0</v>
      </c>
      <c r="J39" s="247">
        <f>Model!M150</f>
        <v>96.6306</v>
      </c>
    </row>
    <row r="40" spans="1:10" ht="12.75">
      <c r="A40" s="96"/>
      <c r="B40" s="113"/>
      <c r="D40" s="96" t="s">
        <v>160</v>
      </c>
      <c r="E40" s="138">
        <v>0</v>
      </c>
      <c r="F40" s="138">
        <v>0</v>
      </c>
      <c r="G40" s="138">
        <v>0</v>
      </c>
      <c r="H40" s="138">
        <v>0</v>
      </c>
      <c r="I40" s="138">
        <v>0</v>
      </c>
      <c r="J40" s="139">
        <f>B42</f>
        <v>14.364311914086692</v>
      </c>
    </row>
    <row r="41" spans="1:10" ht="12.75">
      <c r="A41" s="96" t="s">
        <v>161</v>
      </c>
      <c r="B41" s="142">
        <f>K20</f>
        <v>0.05</v>
      </c>
      <c r="D41" s="102" t="s">
        <v>162</v>
      </c>
      <c r="E41" s="140">
        <f aca="true" t="shared" si="2" ref="E41:J41">SUM(E37:E40)</f>
        <v>-60</v>
      </c>
      <c r="F41" s="140">
        <f t="shared" si="2"/>
        <v>0</v>
      </c>
      <c r="G41" s="140">
        <f t="shared" si="2"/>
        <v>0</v>
      </c>
      <c r="H41" s="140">
        <f t="shared" si="2"/>
        <v>0</v>
      </c>
      <c r="I41" s="140">
        <f t="shared" si="2"/>
        <v>0</v>
      </c>
      <c r="J41" s="141">
        <f t="shared" si="2"/>
        <v>110.99491191408669</v>
      </c>
    </row>
    <row r="42" spans="1:9" ht="12.75">
      <c r="A42" s="102" t="s">
        <v>163</v>
      </c>
      <c r="B42" s="103">
        <f>B37*B41</f>
        <v>14.364311914086692</v>
      </c>
      <c r="D42" s="244" t="s">
        <v>150</v>
      </c>
      <c r="E42" s="245" t="e">
        <f>#N/A</f>
        <v>#N/A</v>
      </c>
      <c r="F42"/>
      <c r="G42"/>
      <c r="H42"/>
      <c r="I42"/>
    </row>
    <row r="43" ht="12.75">
      <c r="A43" s="144"/>
    </row>
    <row r="44" ht="12.75">
      <c r="A44" s="144" t="s">
        <v>164</v>
      </c>
    </row>
    <row r="45" ht="12.75">
      <c r="A45" s="144"/>
    </row>
    <row r="46" spans="1:11" ht="12.75">
      <c r="A46" s="14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2.75">
      <c r="A47" s="146"/>
      <c r="B47" s="16"/>
      <c r="C47" s="16"/>
      <c r="D47" s="16"/>
      <c r="E47" s="16"/>
      <c r="F47" s="16"/>
      <c r="G47" s="16"/>
      <c r="H47" s="16"/>
      <c r="I47" s="16"/>
      <c r="J47" s="16"/>
      <c r="K47" s="16"/>
    </row>
    <row r="48" spans="1:11" ht="13.5" thickBot="1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</row>
    <row r="49" ht="12.75">
      <c r="L49" s="147"/>
    </row>
    <row r="50" spans="4:12" ht="12.75">
      <c r="D50" s="17"/>
      <c r="E50" s="17"/>
      <c r="F50" s="17"/>
      <c r="G50" s="17"/>
      <c r="H50" s="17"/>
      <c r="I50" s="17"/>
      <c r="J50" s="17"/>
      <c r="K50" s="17"/>
      <c r="L50" s="17"/>
    </row>
    <row r="51" spans="2:6" s="1" customFormat="1" ht="12.75">
      <c r="B51" s="21" t="s">
        <v>165</v>
      </c>
      <c r="F51" s="150"/>
    </row>
    <row r="52" s="1" customFormat="1" ht="12.75">
      <c r="C52" s="4"/>
    </row>
    <row r="53" spans="2:9" s="1" customFormat="1" ht="12.75">
      <c r="B53" s="151" t="s">
        <v>166</v>
      </c>
      <c r="C53" s="152"/>
      <c r="D53" s="152"/>
      <c r="E53" s="153">
        <v>2009</v>
      </c>
      <c r="F53" s="153">
        <v>2010</v>
      </c>
      <c r="G53" s="153">
        <v>2011</v>
      </c>
      <c r="H53" s="153">
        <v>2012</v>
      </c>
      <c r="I53" s="154">
        <v>2013</v>
      </c>
    </row>
    <row r="54" spans="2:9" s="1" customFormat="1" ht="12.75">
      <c r="B54" s="96" t="s">
        <v>167</v>
      </c>
      <c r="C54" s="16"/>
      <c r="D54" s="16"/>
      <c r="E54" s="111">
        <f>Model!I7</f>
        <v>210</v>
      </c>
      <c r="F54" s="111">
        <f>Model!J7</f>
        <v>220.5</v>
      </c>
      <c r="G54" s="111">
        <f>Model!K7</f>
        <v>231.525</v>
      </c>
      <c r="H54" s="111">
        <f>Model!L7</f>
        <v>243.10125000000002</v>
      </c>
      <c r="I54" s="97">
        <f>Model!M7</f>
        <v>255.25631250000004</v>
      </c>
    </row>
    <row r="55" spans="2:9" s="1" customFormat="1" ht="12.75">
      <c r="B55" s="96" t="s">
        <v>168</v>
      </c>
      <c r="C55" s="16"/>
      <c r="D55" s="16"/>
      <c r="E55" s="114">
        <f>Model!I25</f>
        <v>63</v>
      </c>
      <c r="F55" s="114">
        <f>Model!J25</f>
        <v>66.15000000000002</v>
      </c>
      <c r="G55" s="114">
        <f>Model!K25</f>
        <v>69.4575</v>
      </c>
      <c r="H55" s="114">
        <f>Model!L25</f>
        <v>72.930375</v>
      </c>
      <c r="I55" s="100">
        <f>Model!M25</f>
        <v>76.57689375000002</v>
      </c>
    </row>
    <row r="56" spans="2:9" s="1" customFormat="1" ht="12.75">
      <c r="B56" s="96" t="s">
        <v>26</v>
      </c>
      <c r="C56" s="16"/>
      <c r="D56" s="16"/>
      <c r="E56" s="114">
        <f>Model!I40</f>
        <v>19.178680594009563</v>
      </c>
      <c r="F56" s="114">
        <f>Model!J40</f>
        <v>21.54212741451905</v>
      </c>
      <c r="G56" s="114">
        <f>Model!K40</f>
        <v>24.00606148312652</v>
      </c>
      <c r="H56" s="114">
        <f>Model!L40</f>
        <v>26.59332671503511</v>
      </c>
      <c r="I56" s="100">
        <f>Model!M40</f>
        <v>29.578530012543396</v>
      </c>
    </row>
    <row r="57" spans="2:9" s="1" customFormat="1" ht="12.75">
      <c r="B57" s="96" t="s">
        <v>169</v>
      </c>
      <c r="C57" s="16"/>
      <c r="D57" s="16"/>
      <c r="E57" s="114">
        <f>Model!I156-Model!I159</f>
        <v>22.761532343317395</v>
      </c>
      <c r="F57" s="114">
        <f>Model!J156-Model!J159</f>
        <v>21.75195430913494</v>
      </c>
      <c r="G57" s="114">
        <f>Model!K156-Model!K159</f>
        <v>20.721372528122476</v>
      </c>
      <c r="H57" s="114">
        <f>Model!L156-Model!L159</f>
        <v>19.639037558274822</v>
      </c>
      <c r="I57" s="100">
        <f>Model!M156-Model!M159</f>
        <v>18.054961166594364</v>
      </c>
    </row>
    <row r="58" spans="2:256" s="1" customFormat="1" ht="12.75">
      <c r="B58" s="96" t="s">
        <v>170</v>
      </c>
      <c r="C58" s="16"/>
      <c r="D58" s="16"/>
      <c r="E58" s="114">
        <f>Model!I157</f>
        <v>16.8</v>
      </c>
      <c r="F58" s="114">
        <f>Model!J157</f>
        <v>15.3</v>
      </c>
      <c r="G58" s="114">
        <f>Model!K157</f>
        <v>13.8</v>
      </c>
      <c r="H58" s="114">
        <f>Model!L157</f>
        <v>12.3</v>
      </c>
      <c r="I58" s="100">
        <f>Model!M157</f>
        <v>10.05</v>
      </c>
      <c r="IV58" s="111" t="e">
        <v>#REF!</v>
      </c>
    </row>
    <row r="59" spans="2:256" s="1" customFormat="1" ht="12.75">
      <c r="B59" s="96" t="s">
        <v>23</v>
      </c>
      <c r="C59" s="16"/>
      <c r="D59" s="16"/>
      <c r="E59" s="114">
        <f>Model!I37</f>
        <v>12.785787062673043</v>
      </c>
      <c r="F59" s="114">
        <f>Model!J37</f>
        <v>14.361418276346036</v>
      </c>
      <c r="G59" s="114">
        <f>Model!K37</f>
        <v>16.00404098875101</v>
      </c>
      <c r="H59" s="114">
        <f>Model!L37</f>
        <v>17.728884476690077</v>
      </c>
      <c r="I59" s="100">
        <f>Model!M37</f>
        <v>19.719020008362264</v>
      </c>
      <c r="IV59" s="111"/>
    </row>
    <row r="60" spans="2:9" s="1" customFormat="1" ht="12.75">
      <c r="B60" s="96"/>
      <c r="C60" s="16"/>
      <c r="D60" s="16"/>
      <c r="E60" s="148"/>
      <c r="F60" s="148"/>
      <c r="G60" s="148"/>
      <c r="H60" s="148"/>
      <c r="I60" s="119"/>
    </row>
    <row r="61" spans="2:9" s="1" customFormat="1" ht="12.75">
      <c r="B61" s="96" t="s">
        <v>171</v>
      </c>
      <c r="C61" s="16"/>
      <c r="D61" s="16"/>
      <c r="E61" s="112">
        <f>Model!I8</f>
        <v>0.050000000000000044</v>
      </c>
      <c r="F61" s="112">
        <f>Model!J8</f>
        <v>0.050000000000000044</v>
      </c>
      <c r="G61" s="112">
        <f>Model!K8</f>
        <v>0.050000000000000044</v>
      </c>
      <c r="H61" s="112">
        <f>Model!L8</f>
        <v>0.050000000000000044</v>
      </c>
      <c r="I61" s="212">
        <f>Model!M8</f>
        <v>0.050000000000000044</v>
      </c>
    </row>
    <row r="62" spans="2:9" s="1" customFormat="1" ht="12.75">
      <c r="B62" s="96" t="s">
        <v>172</v>
      </c>
      <c r="C62" s="16"/>
      <c r="D62" s="16"/>
      <c r="E62" s="112">
        <f>Model!I26</f>
        <v>0.3</v>
      </c>
      <c r="F62" s="112">
        <f>Model!J26</f>
        <v>0.3000000000000001</v>
      </c>
      <c r="G62" s="112">
        <f>Model!K26</f>
        <v>0.3</v>
      </c>
      <c r="H62" s="112">
        <f>Model!L26</f>
        <v>0.3</v>
      </c>
      <c r="I62" s="212">
        <f>Model!M26</f>
        <v>0.30000000000000004</v>
      </c>
    </row>
    <row r="63" spans="2:256" s="1" customFormat="1" ht="12.75">
      <c r="B63" s="96" t="s">
        <v>173</v>
      </c>
      <c r="C63" s="16"/>
      <c r="D63" s="16"/>
      <c r="E63" s="112">
        <f>Model!I27</f>
        <v>0.050000000000000044</v>
      </c>
      <c r="F63" s="112">
        <f>Model!J27</f>
        <v>0.050000000000000266</v>
      </c>
      <c r="G63" s="112">
        <f>Model!K27</f>
        <v>0.0499999999999996</v>
      </c>
      <c r="H63" s="112">
        <f>Model!L27</f>
        <v>0.050000000000000044</v>
      </c>
      <c r="I63" s="212">
        <f>Model!M27</f>
        <v>0.050000000000000266</v>
      </c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1" customFormat="1" ht="12.75">
      <c r="B64" s="96" t="s">
        <v>175</v>
      </c>
      <c r="C64" s="16"/>
      <c r="D64" s="16"/>
      <c r="E64" s="112">
        <f>Model!I41</f>
        <v>0.09132705044766459</v>
      </c>
      <c r="F64" s="112">
        <f>Model!J41</f>
        <v>0.09769672296834037</v>
      </c>
      <c r="G64" s="112">
        <f>Model!K41</f>
        <v>0.10368669250891488</v>
      </c>
      <c r="H64" s="112">
        <f>Model!L41</f>
        <v>0.10939197850704227</v>
      </c>
      <c r="I64" s="212">
        <f>Model!M41</f>
        <v>0.11587776115250192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1" customFormat="1" ht="12.75">
      <c r="B65" s="96" t="s">
        <v>174</v>
      </c>
      <c r="C65" s="16"/>
      <c r="D65" s="16"/>
      <c r="E65" s="112">
        <f>Model!I42</f>
        <v>-0.1910881985325772</v>
      </c>
      <c r="F65" s="112">
        <f>Model!J42</f>
        <v>0.12323302476019693</v>
      </c>
      <c r="G65" s="112">
        <f>Model!K42</f>
        <v>0.11437747169515</v>
      </c>
      <c r="H65" s="112">
        <f>Model!L42</f>
        <v>0.10777549802274478</v>
      </c>
      <c r="I65" s="212">
        <f>Model!M42</f>
        <v>0.11225384960282292</v>
      </c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1" customFormat="1" ht="12.75">
      <c r="B66" s="96"/>
      <c r="C66" s="16"/>
      <c r="D66" s="16"/>
      <c r="E66" s="148"/>
      <c r="F66" s="148"/>
      <c r="G66" s="148"/>
      <c r="H66" s="148"/>
      <c r="I66" s="119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1" customFormat="1" ht="12.75">
      <c r="B67" s="108" t="s">
        <v>176</v>
      </c>
      <c r="C67" s="16"/>
      <c r="D67" s="16"/>
      <c r="E67" s="148"/>
      <c r="F67" s="148"/>
      <c r="G67" s="148"/>
      <c r="H67" s="148"/>
      <c r="I67" s="119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1" customFormat="1" ht="12.75">
      <c r="B68" s="96" t="s">
        <v>32</v>
      </c>
      <c r="C68" s="16"/>
      <c r="D68" s="16"/>
      <c r="E68" s="111">
        <f>Model!I47</f>
        <v>3.4193472606762256</v>
      </c>
      <c r="F68" s="111">
        <f>Model!J47</f>
        <v>8.42430800852862</v>
      </c>
      <c r="G68" s="111">
        <f>Model!K47</f>
        <v>16.203144491655145</v>
      </c>
      <c r="H68" s="111">
        <f>Model!L47</f>
        <v>26.927684956690257</v>
      </c>
      <c r="I68" s="97">
        <f>Model!M47</f>
        <v>21.050089406733633</v>
      </c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" customFormat="1" ht="12.75">
      <c r="B69" s="96" t="s">
        <v>177</v>
      </c>
      <c r="C69" s="16"/>
      <c r="D69" s="16"/>
      <c r="E69" s="114">
        <f>SUM(Model!I73:I76)</f>
        <v>256</v>
      </c>
      <c r="F69" s="114">
        <f>SUM(Model!J73:J76)</f>
        <v>242.6</v>
      </c>
      <c r="G69" s="114">
        <f>SUM(Model!K73:K76)</f>
        <v>229.86</v>
      </c>
      <c r="H69" s="114">
        <f>SUM(Model!L73:L76)</f>
        <v>217.846</v>
      </c>
      <c r="I69" s="100">
        <f>SUM(Model!M73:M76)</f>
        <v>186.63060000000002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1" customFormat="1" ht="12.75">
      <c r="B70" s="96" t="s">
        <v>178</v>
      </c>
      <c r="C70" s="16"/>
      <c r="D70" s="16"/>
      <c r="E70" s="114">
        <f>E69-E68</f>
        <v>252.58065273932377</v>
      </c>
      <c r="F70" s="114">
        <f>F69-F68</f>
        <v>234.17569199147138</v>
      </c>
      <c r="G70" s="114">
        <f>G69-G68</f>
        <v>213.65685550834488</v>
      </c>
      <c r="H70" s="114">
        <f>H69-H68</f>
        <v>190.91831504330975</v>
      </c>
      <c r="I70" s="100">
        <f>I69-I68</f>
        <v>165.58051059326638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1" customFormat="1" ht="12.75">
      <c r="B71" s="96" t="s">
        <v>179</v>
      </c>
      <c r="C71" s="16"/>
      <c r="D71" s="16"/>
      <c r="E71" s="114">
        <f>SUM(Model!I73:I75)</f>
        <v>190</v>
      </c>
      <c r="F71" s="114">
        <f>SUM(Model!J73:J75)</f>
        <v>170</v>
      </c>
      <c r="G71" s="114">
        <f>SUM(Model!K73:K75)</f>
        <v>150</v>
      </c>
      <c r="H71" s="114">
        <f>SUM(Model!L73:L75)</f>
        <v>130</v>
      </c>
      <c r="I71" s="100">
        <f>SUM(Model!M73:M75)</f>
        <v>90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1" customFormat="1" ht="12.75">
      <c r="B72" s="96" t="s">
        <v>180</v>
      </c>
      <c r="C72" s="16"/>
      <c r="D72" s="16"/>
      <c r="E72" s="114">
        <f>-Model!I105</f>
        <v>10.5</v>
      </c>
      <c r="F72" s="114">
        <f>-Model!J105</f>
        <v>11.025</v>
      </c>
      <c r="G72" s="114">
        <f>-Model!K105</f>
        <v>11.576250000000002</v>
      </c>
      <c r="H72" s="114">
        <f>-Model!L105</f>
        <v>12.155062500000001</v>
      </c>
      <c r="I72" s="100">
        <f>-Model!M105</f>
        <v>12.762815625000002</v>
      </c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1" customFormat="1" ht="12.75">
      <c r="B73" s="96" t="s">
        <v>181</v>
      </c>
      <c r="C73" s="16"/>
      <c r="D73" s="16"/>
      <c r="E73" s="114">
        <f>SUM(Model!I95:I100)</f>
        <v>0.4666666666666661</v>
      </c>
      <c r="F73" s="114">
        <f>SUM(Model!J95:J100)</f>
        <v>-0.6066666666666665</v>
      </c>
      <c r="G73" s="114">
        <f>SUM(Model!K95:K100)</f>
        <v>-0.6369999999999976</v>
      </c>
      <c r="H73" s="114">
        <f>SUM(Model!L95:L100)</f>
        <v>-0.6688500000000004</v>
      </c>
      <c r="I73" s="100">
        <f>SUM(Model!M95:M100)</f>
        <v>-0.7022925000000027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1" customFormat="1" ht="12.75">
      <c r="B74" s="96"/>
      <c r="C74" s="16"/>
      <c r="D74" s="16"/>
      <c r="E74" s="148"/>
      <c r="F74" s="148"/>
      <c r="G74" s="148"/>
      <c r="H74" s="148"/>
      <c r="I74" s="119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1" customFormat="1" ht="12.75">
      <c r="B75" s="108" t="s">
        <v>182</v>
      </c>
      <c r="C75" s="16"/>
      <c r="D75" s="16"/>
      <c r="E75" s="148"/>
      <c r="F75" s="148"/>
      <c r="G75" s="148"/>
      <c r="H75" s="148"/>
      <c r="I75" s="119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1" customFormat="1" ht="12.75">
      <c r="B76" s="96" t="s">
        <v>183</v>
      </c>
      <c r="C76" s="16"/>
      <c r="D76" s="16"/>
      <c r="E76" s="117">
        <f>E69/E55</f>
        <v>4.063492063492063</v>
      </c>
      <c r="F76" s="117">
        <f>F69/F55</f>
        <v>3.6674225245653806</v>
      </c>
      <c r="G76" s="117">
        <f>G69/G55</f>
        <v>3.3093618399740854</v>
      </c>
      <c r="H76" s="117">
        <f>H69/H55</f>
        <v>2.9870407220585387</v>
      </c>
      <c r="I76" s="155">
        <f>I69/I55</f>
        <v>2.437165976061806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1" customFormat="1" ht="12.75">
      <c r="B77" s="96" t="s">
        <v>184</v>
      </c>
      <c r="C77" s="16"/>
      <c r="D77" s="16"/>
      <c r="E77" s="117">
        <f>E70/E55</f>
        <v>4.009216710147997</v>
      </c>
      <c r="F77" s="117">
        <f>F70/F55</f>
        <v>3.5400709295762858</v>
      </c>
      <c r="G77" s="117">
        <f>G70/G55</f>
        <v>3.0760804162019206</v>
      </c>
      <c r="H77" s="117">
        <f>H70/H55</f>
        <v>2.6178161711537853</v>
      </c>
      <c r="I77" s="155">
        <f>I70/I55</f>
        <v>2.1622777117838674</v>
      </c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1" customFormat="1" ht="12.75">
      <c r="B78" s="96" t="s">
        <v>185</v>
      </c>
      <c r="C78" s="16"/>
      <c r="D78" s="16"/>
      <c r="E78" s="117">
        <f>E71/E55</f>
        <v>3.015873015873016</v>
      </c>
      <c r="F78" s="117">
        <f>F71/F55</f>
        <v>2.5699168556311407</v>
      </c>
      <c r="G78" s="117">
        <f>G71/G55</f>
        <v>2.1595939963286903</v>
      </c>
      <c r="H78" s="117">
        <f>H71/H55</f>
        <v>1.7825220287157444</v>
      </c>
      <c r="I78" s="155">
        <f>I71/I55</f>
        <v>1.175289249702688</v>
      </c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9" s="1" customFormat="1" ht="12.75">
      <c r="B79" s="96" t="s">
        <v>186</v>
      </c>
      <c r="C79" s="16"/>
      <c r="D79" s="16"/>
      <c r="E79" s="117">
        <f>E55/E57</f>
        <v>2.7678277125527666</v>
      </c>
      <c r="F79" s="117">
        <f>F55/F57</f>
        <v>3.0411060569495447</v>
      </c>
      <c r="G79" s="117">
        <f>G55/G57</f>
        <v>3.3519739054801603</v>
      </c>
      <c r="H79" s="117">
        <f>H55/H57</f>
        <v>3.7135411948571333</v>
      </c>
      <c r="I79" s="155">
        <f>I55/I57</f>
        <v>4.241321432010835</v>
      </c>
    </row>
    <row r="80" spans="2:9" s="1" customFormat="1" ht="12.75">
      <c r="B80" s="96" t="s">
        <v>187</v>
      </c>
      <c r="C80" s="16"/>
      <c r="D80" s="16"/>
      <c r="E80" s="117">
        <f>E55/E58</f>
        <v>3.75</v>
      </c>
      <c r="F80" s="117">
        <f>F55/F58</f>
        <v>4.323529411764707</v>
      </c>
      <c r="G80" s="117">
        <f>G55/G58</f>
        <v>5.033152173913043</v>
      </c>
      <c r="H80" s="117">
        <f>H55/H58</f>
        <v>5.929298780487804</v>
      </c>
      <c r="I80" s="155">
        <f>I55/I58</f>
        <v>7.61959141791045</v>
      </c>
    </row>
    <row r="81" spans="2:9" s="1" customFormat="1" ht="12.75">
      <c r="B81" s="96"/>
      <c r="C81" s="16"/>
      <c r="D81" s="16"/>
      <c r="E81" s="16"/>
      <c r="F81" s="16"/>
      <c r="G81" s="16"/>
      <c r="H81" s="16"/>
      <c r="I81" s="113"/>
    </row>
    <row r="82" spans="2:13" s="1" customFormat="1" ht="13.5">
      <c r="B82" s="108" t="s">
        <v>188</v>
      </c>
      <c r="C82" s="16"/>
      <c r="D82" s="16"/>
      <c r="E82" s="156"/>
      <c r="F82" s="156"/>
      <c r="G82" s="156"/>
      <c r="H82" s="156"/>
      <c r="I82" s="157"/>
      <c r="J82" s="158"/>
      <c r="K82" s="158"/>
      <c r="L82" s="158"/>
      <c r="M82" s="158"/>
    </row>
    <row r="83" spans="2:13" s="1" customFormat="1" ht="13.5">
      <c r="B83" s="96" t="s">
        <v>186</v>
      </c>
      <c r="C83" s="16"/>
      <c r="D83" s="16"/>
      <c r="E83" s="117">
        <f>E55/E57</f>
        <v>2.7678277125527666</v>
      </c>
      <c r="F83" s="117">
        <f>F55/F57</f>
        <v>3.0411060569495447</v>
      </c>
      <c r="G83" s="117">
        <f>G55/G57</f>
        <v>3.3519739054801603</v>
      </c>
      <c r="H83" s="117">
        <f>H55/H57</f>
        <v>3.7135411948571333</v>
      </c>
      <c r="I83" s="155">
        <f>I55/I57</f>
        <v>4.241321432010835</v>
      </c>
      <c r="J83" s="158"/>
      <c r="K83" s="158"/>
      <c r="L83" s="158"/>
      <c r="M83" s="158"/>
    </row>
    <row r="84" spans="2:13" s="1" customFormat="1" ht="13.5">
      <c r="B84" s="96" t="s">
        <v>189</v>
      </c>
      <c r="C84" s="16"/>
      <c r="D84" s="16"/>
      <c r="E84" s="117">
        <f>E55/E58</f>
        <v>3.75</v>
      </c>
      <c r="F84" s="117">
        <f>F55/F58</f>
        <v>4.323529411764707</v>
      </c>
      <c r="G84" s="117">
        <f>G55/G58</f>
        <v>5.033152173913043</v>
      </c>
      <c r="H84" s="117">
        <f>H55/H58</f>
        <v>5.929298780487804</v>
      </c>
      <c r="I84" s="155">
        <f>I55/I58</f>
        <v>7.61959141791045</v>
      </c>
      <c r="J84" s="158"/>
      <c r="K84" s="158"/>
      <c r="L84" s="158"/>
      <c r="M84" s="158"/>
    </row>
    <row r="85" spans="2:13" s="1" customFormat="1" ht="13.5">
      <c r="B85" s="96" t="s">
        <v>190</v>
      </c>
      <c r="C85" s="16"/>
      <c r="D85" s="16"/>
      <c r="E85" s="117">
        <f>(E55-E72)/E57</f>
        <v>2.306523093793972</v>
      </c>
      <c r="F85" s="117">
        <f>(F55-F72)/F57</f>
        <v>2.5342550474579544</v>
      </c>
      <c r="G85" s="117">
        <f>(G55-G72)/G57</f>
        <v>2.7933115879001336</v>
      </c>
      <c r="H85" s="117">
        <f>(H55-H72)/H57</f>
        <v>3.0946176623809443</v>
      </c>
      <c r="I85" s="155">
        <f>(I55-I72)/I57</f>
        <v>3.534434526675696</v>
      </c>
      <c r="J85" s="158"/>
      <c r="K85" s="158"/>
      <c r="L85" s="158"/>
      <c r="M85" s="158"/>
    </row>
    <row r="86" spans="2:13" s="1" customFormat="1" ht="13.5">
      <c r="B86" s="96" t="s">
        <v>191</v>
      </c>
      <c r="C86" s="16"/>
      <c r="D86" s="16"/>
      <c r="E86" s="117">
        <f>(E55-E72)/E58</f>
        <v>3.125</v>
      </c>
      <c r="F86" s="117">
        <f>(F55-F72)/F58</f>
        <v>3.6029411764705896</v>
      </c>
      <c r="G86" s="117">
        <f>(G55-G72)/G58</f>
        <v>4.194293478260869</v>
      </c>
      <c r="H86" s="117">
        <f>(H55-H72)/H58</f>
        <v>4.94108231707317</v>
      </c>
      <c r="I86" s="155">
        <f>(I55-I72)/I58</f>
        <v>6.349659514925375</v>
      </c>
      <c r="J86" s="158"/>
      <c r="K86" s="158"/>
      <c r="L86" s="158"/>
      <c r="M86" s="158"/>
    </row>
    <row r="87" spans="2:13" s="1" customFormat="1" ht="13.5">
      <c r="B87" s="96" t="s">
        <v>192</v>
      </c>
      <c r="C87" s="16"/>
      <c r="D87" s="16"/>
      <c r="E87" s="117">
        <f>(E55-E72-E73)/E57</f>
        <v>2.2860206662935814</v>
      </c>
      <c r="F87" s="117">
        <f>(F55-F72-F73)/F57</f>
        <v>2.5621452617368567</v>
      </c>
      <c r="G87" s="117">
        <f>(G55-G72-G73)/G57</f>
        <v>2.8240527947934257</v>
      </c>
      <c r="H87" s="117">
        <f>(H55-H72-H73)/H57</f>
        <v>3.12867483030556</v>
      </c>
      <c r="I87" s="155">
        <f>(I55-I72-I73)/I57</f>
        <v>3.57333200718091</v>
      </c>
      <c r="J87" s="158"/>
      <c r="K87" s="158"/>
      <c r="L87" s="158"/>
      <c r="M87" s="158"/>
    </row>
    <row r="88" spans="2:13" s="1" customFormat="1" ht="13.5">
      <c r="B88" s="96" t="s">
        <v>193</v>
      </c>
      <c r="C88" s="16"/>
      <c r="D88" s="16"/>
      <c r="E88" s="117">
        <f>(E55-E72-E73)/E58</f>
        <v>3.097222222222222</v>
      </c>
      <c r="F88" s="117">
        <f>(F55-F72-F73)/F58</f>
        <v>3.642592592592594</v>
      </c>
      <c r="G88" s="117">
        <f>(G55-G72-G73)/G58</f>
        <v>4.240452898550724</v>
      </c>
      <c r="H88" s="117">
        <f>(H55-H72-H73)/H58</f>
        <v>4.995460365853658</v>
      </c>
      <c r="I88" s="155">
        <f>(I55-I72-I73)/I58</f>
        <v>6.4195393656716435</v>
      </c>
      <c r="J88" s="158"/>
      <c r="K88" s="158"/>
      <c r="L88" s="158"/>
      <c r="M88" s="158"/>
    </row>
    <row r="89" spans="2:9" s="1" customFormat="1" ht="12.75">
      <c r="B89" s="96" t="s">
        <v>194</v>
      </c>
      <c r="C89" s="16"/>
      <c r="D89" s="16"/>
      <c r="E89" s="117">
        <f>(E55-E72-E73-E59)/E57</f>
        <v>1.7242927971052464</v>
      </c>
      <c r="F89" s="117">
        <f>(F55-F72-F73-F59)/F57</f>
        <v>1.9019094929298754</v>
      </c>
      <c r="G89" s="117">
        <f>(G55-G72-G73-G59)/G57</f>
        <v>2.051708155603586</v>
      </c>
      <c r="H89" s="117">
        <f>(H55-H72-H73-H59)/H57</f>
        <v>2.2259379001437205</v>
      </c>
      <c r="I89" s="155">
        <f>(I55-I72-I73-I59)/I57</f>
        <v>2.4811657141374903</v>
      </c>
    </row>
    <row r="90" spans="2:9" s="1" customFormat="1" ht="12.75">
      <c r="B90" s="102" t="s">
        <v>195</v>
      </c>
      <c r="C90" s="15"/>
      <c r="D90" s="15"/>
      <c r="E90" s="159">
        <f>(E55-E72-E73-E59)/E58</f>
        <v>2.3361634684916837</v>
      </c>
      <c r="F90" s="159">
        <f>(F55-F72-F73-F59)/F58</f>
        <v>2.7039378032889316</v>
      </c>
      <c r="G90" s="159">
        <f>(G55-G72-G73-G59)/G58</f>
        <v>3.080739783423839</v>
      </c>
      <c r="H90" s="159">
        <f>(H55-H72-H73-H59)/H58</f>
        <v>3.554087644171538</v>
      </c>
      <c r="I90" s="160">
        <f>(I55-I72-I73-I59)/I58</f>
        <v>4.45744782255102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3"/>
  <sheetViews>
    <sheetView zoomScalePageLayoutView="0" workbookViewId="0" topLeftCell="A1">
      <selection activeCell="A36" sqref="A36"/>
    </sheetView>
  </sheetViews>
  <sheetFormatPr defaultColWidth="9.140625" defaultRowHeight="12.75"/>
  <cols>
    <col min="1" max="1" width="40.421875" style="1" bestFit="1" customWidth="1"/>
    <col min="2" max="2" width="10.57421875" style="1" bestFit="1" customWidth="1"/>
    <col min="3" max="3" width="1.7109375" style="0" customWidth="1"/>
    <col min="5" max="5" width="1.7109375" style="0" customWidth="1"/>
  </cols>
  <sheetData>
    <row r="1" spans="1:6" ht="17.25">
      <c r="A1" s="161" t="s">
        <v>196</v>
      </c>
      <c r="B1" s="15"/>
      <c r="C1" s="15"/>
      <c r="D1" s="15"/>
      <c r="E1" s="15"/>
      <c r="F1" s="15"/>
    </row>
    <row r="2" spans="1:3" ht="12.75">
      <c r="A2" s="4" t="s">
        <v>2</v>
      </c>
      <c r="C2" s="1"/>
    </row>
    <row r="3" spans="2:6" ht="12.75">
      <c r="B3" s="6" t="s">
        <v>213</v>
      </c>
      <c r="C3" s="6"/>
      <c r="D3" s="6" t="s">
        <v>214</v>
      </c>
      <c r="E3" s="1"/>
      <c r="F3" s="209" t="s">
        <v>197</v>
      </c>
    </row>
    <row r="4" spans="1:6" ht="12.75">
      <c r="A4" s="18" t="s">
        <v>31</v>
      </c>
      <c r="B4" s="6" t="s">
        <v>198</v>
      </c>
      <c r="C4" s="6"/>
      <c r="D4" s="213" t="s">
        <v>199</v>
      </c>
      <c r="E4" s="1"/>
      <c r="F4" s="210" t="s">
        <v>198</v>
      </c>
    </row>
    <row r="5" spans="1:6" ht="12.75">
      <c r="A5" s="18" t="s">
        <v>42</v>
      </c>
      <c r="B5" s="208">
        <v>2008</v>
      </c>
      <c r="C5" s="208"/>
      <c r="D5" s="208" t="s">
        <v>200</v>
      </c>
      <c r="E5" s="1"/>
      <c r="F5" s="211">
        <v>2008</v>
      </c>
    </row>
    <row r="6" spans="1:6" ht="12.75">
      <c r="A6" s="16" t="s">
        <v>32</v>
      </c>
      <c r="B6" s="162">
        <f>+Model!G47</f>
        <v>0</v>
      </c>
      <c r="D6" s="163">
        <f>-'Sources Uses'!F16</f>
        <v>0</v>
      </c>
      <c r="F6" s="216">
        <f>B6+D6</f>
        <v>0</v>
      </c>
    </row>
    <row r="7" spans="1:6" ht="12.75">
      <c r="A7" s="17" t="s">
        <v>33</v>
      </c>
      <c r="B7" s="162">
        <f>+Model!G48</f>
        <v>16</v>
      </c>
      <c r="D7" s="166">
        <v>0</v>
      </c>
      <c r="F7" s="217">
        <f>B7+D7</f>
        <v>16</v>
      </c>
    </row>
    <row r="8" spans="1:6" ht="12.75">
      <c r="A8" s="17" t="s">
        <v>34</v>
      </c>
      <c r="B8" s="162">
        <f>+Model!G49</f>
        <v>10</v>
      </c>
      <c r="D8" s="166">
        <v>0</v>
      </c>
      <c r="F8" s="217">
        <f>B8+D8</f>
        <v>10</v>
      </c>
    </row>
    <row r="9" spans="1:6" ht="12.75">
      <c r="A9" s="16" t="s">
        <v>35</v>
      </c>
      <c r="B9" s="173">
        <f>+Model!G50</f>
        <v>1</v>
      </c>
      <c r="D9" s="168">
        <v>0</v>
      </c>
      <c r="F9" s="218">
        <f>B9+D9</f>
        <v>1</v>
      </c>
    </row>
    <row r="10" spans="1:6" ht="12.75">
      <c r="A10" s="16" t="s">
        <v>43</v>
      </c>
      <c r="B10" s="162">
        <f>SUM(B6:B9)</f>
        <v>27</v>
      </c>
      <c r="D10" s="162">
        <f>SUM(D6:D9)</f>
        <v>0</v>
      </c>
      <c r="F10" s="216">
        <f>SUM(F6:F9)</f>
        <v>27</v>
      </c>
    </row>
    <row r="11" spans="1:6" ht="12.75">
      <c r="A11" s="16"/>
      <c r="B11" s="162"/>
      <c r="D11" s="162"/>
      <c r="F11" s="216"/>
    </row>
    <row r="12" spans="1:6" ht="12.75">
      <c r="A12" s="16" t="s">
        <v>44</v>
      </c>
      <c r="B12" s="162">
        <f>+Model!G53</f>
        <v>323.2</v>
      </c>
      <c r="D12" s="163">
        <v>0</v>
      </c>
      <c r="F12" s="216">
        <f>B12+D12</f>
        <v>323.2</v>
      </c>
    </row>
    <row r="13" spans="1:6" ht="12.75">
      <c r="A13" s="16" t="s">
        <v>45</v>
      </c>
      <c r="B13" s="173">
        <f>+Model!G54</f>
        <v>45</v>
      </c>
      <c r="D13" s="168">
        <v>0</v>
      </c>
      <c r="F13" s="218">
        <f>B13+D13</f>
        <v>45</v>
      </c>
    </row>
    <row r="14" spans="1:6" ht="12.75">
      <c r="A14" s="16" t="s">
        <v>46</v>
      </c>
      <c r="B14" s="162">
        <f>B12-B13</f>
        <v>278.2</v>
      </c>
      <c r="D14" s="162">
        <f>D12-D13</f>
        <v>0</v>
      </c>
      <c r="F14" s="216">
        <f>F12-F13</f>
        <v>278.2</v>
      </c>
    </row>
    <row r="15" spans="1:6" ht="12.75">
      <c r="A15" s="16"/>
      <c r="B15" s="162"/>
      <c r="D15" s="162"/>
      <c r="F15" s="216"/>
    </row>
    <row r="16" spans="1:6" ht="12.75">
      <c r="A16" s="16" t="s">
        <v>235</v>
      </c>
      <c r="B16" s="248">
        <v>0</v>
      </c>
      <c r="D16" s="162">
        <f>B60</f>
        <v>8</v>
      </c>
      <c r="F16" s="216">
        <f>B16+D16</f>
        <v>8</v>
      </c>
    </row>
    <row r="17" spans="1:6" ht="12.75">
      <c r="A17" s="16" t="s">
        <v>105</v>
      </c>
      <c r="B17" s="167">
        <f>+Model!G58</f>
        <v>5</v>
      </c>
      <c r="D17" s="167">
        <f>B54</f>
        <v>65.20000000000002</v>
      </c>
      <c r="F17" s="218">
        <f>B17+D17</f>
        <v>70.20000000000002</v>
      </c>
    </row>
    <row r="18" spans="1:6" ht="12.75">
      <c r="A18" s="169" t="s">
        <v>36</v>
      </c>
      <c r="B18" s="170">
        <f>SUM(B14:B17,B10)</f>
        <v>310.2</v>
      </c>
      <c r="C18" s="170"/>
      <c r="D18" s="170">
        <f>SUM(D14:D17,D10)</f>
        <v>73.20000000000002</v>
      </c>
      <c r="E18" s="170"/>
      <c r="F18" s="219">
        <f>SUM(F14:F17,F10)</f>
        <v>383.4</v>
      </c>
    </row>
    <row r="19" spans="1:6" ht="12.75">
      <c r="A19" s="16"/>
      <c r="B19" s="162"/>
      <c r="D19" s="162"/>
      <c r="F19" s="216"/>
    </row>
    <row r="20" spans="1:6" ht="12.75">
      <c r="A20" s="18" t="s">
        <v>47</v>
      </c>
      <c r="B20" s="162"/>
      <c r="D20" s="162"/>
      <c r="F20" s="216"/>
    </row>
    <row r="21" spans="1:6" ht="12.75">
      <c r="A21" s="16" t="s">
        <v>37</v>
      </c>
      <c r="B21" s="162">
        <f>+Model!G62</f>
        <v>11</v>
      </c>
      <c r="D21" s="163">
        <v>0</v>
      </c>
      <c r="F21" s="216">
        <f>B21+D21</f>
        <v>11</v>
      </c>
    </row>
    <row r="22" spans="1:6" ht="12.75">
      <c r="A22" s="16" t="s">
        <v>38</v>
      </c>
      <c r="B22" s="162">
        <f>+Model!G63</f>
        <v>2.4</v>
      </c>
      <c r="D22" s="166">
        <v>0</v>
      </c>
      <c r="F22" s="216">
        <f>B22+D22</f>
        <v>2.4</v>
      </c>
    </row>
    <row r="23" spans="1:6" ht="12.75">
      <c r="A23" s="16" t="s">
        <v>39</v>
      </c>
      <c r="B23" s="173">
        <f>+Model!G64</f>
        <v>0</v>
      </c>
      <c r="D23" s="168">
        <v>0</v>
      </c>
      <c r="F23" s="218">
        <f>B23+D23</f>
        <v>0</v>
      </c>
    </row>
    <row r="24" spans="1:6" ht="12.75">
      <c r="A24" s="16" t="s">
        <v>48</v>
      </c>
      <c r="B24" s="162">
        <f>SUM(B21:B23)</f>
        <v>13.4</v>
      </c>
      <c r="D24" s="162">
        <f>SUM(D21:D23)</f>
        <v>0</v>
      </c>
      <c r="F24" s="216">
        <f>SUM(F21:F23)</f>
        <v>13.4</v>
      </c>
    </row>
    <row r="25" spans="1:6" ht="12.75">
      <c r="A25" s="16"/>
      <c r="B25" s="162"/>
      <c r="D25" s="162"/>
      <c r="F25" s="216"/>
    </row>
    <row r="26" spans="1:6" ht="12.75">
      <c r="A26" s="36" t="s">
        <v>201</v>
      </c>
      <c r="B26" s="162"/>
      <c r="D26" s="162"/>
      <c r="F26" s="216"/>
    </row>
    <row r="27" spans="1:6" ht="12.75">
      <c r="A27" s="172" t="s">
        <v>53</v>
      </c>
      <c r="B27" s="162">
        <f>+Model!G68</f>
        <v>40.755500458077094</v>
      </c>
      <c r="D27" s="162">
        <f>-B27</f>
        <v>-40.755500458077094</v>
      </c>
      <c r="F27" s="216">
        <f>B27+D27</f>
        <v>0</v>
      </c>
    </row>
    <row r="28" spans="1:6" ht="12.75">
      <c r="A28" s="172" t="s">
        <v>54</v>
      </c>
      <c r="B28" s="162">
        <f>+Model!G69</f>
        <v>100</v>
      </c>
      <c r="D28" s="162">
        <f>-B28</f>
        <v>-100</v>
      </c>
      <c r="F28" s="216">
        <f>B28+D28</f>
        <v>0</v>
      </c>
    </row>
    <row r="29" spans="1:6" ht="12.75">
      <c r="A29" s="172" t="s">
        <v>49</v>
      </c>
      <c r="B29" s="162">
        <f>+Model!G70</f>
        <v>50</v>
      </c>
      <c r="D29" s="162">
        <f>-B29</f>
        <v>-50</v>
      </c>
      <c r="F29" s="216">
        <f>B29+D29</f>
        <v>0</v>
      </c>
    </row>
    <row r="30" spans="1:6" ht="12.75">
      <c r="A30" s="16"/>
      <c r="B30" s="162"/>
      <c r="D30" s="162"/>
      <c r="F30" s="216"/>
    </row>
    <row r="31" spans="1:6" ht="12.75">
      <c r="A31" s="36" t="s">
        <v>202</v>
      </c>
      <c r="B31" s="162"/>
      <c r="D31" s="162"/>
      <c r="F31" s="216"/>
    </row>
    <row r="32" spans="1:6" ht="12.75">
      <c r="A32" s="172" t="s">
        <v>53</v>
      </c>
      <c r="B32" s="163">
        <v>0</v>
      </c>
      <c r="D32" s="162">
        <f>'Sources Uses'!F17</f>
        <v>0</v>
      </c>
      <c r="F32" s="216">
        <f>B32+D32</f>
        <v>0</v>
      </c>
    </row>
    <row r="33" spans="1:6" ht="12.75">
      <c r="A33" s="172" t="s">
        <v>54</v>
      </c>
      <c r="B33" s="166">
        <v>0</v>
      </c>
      <c r="D33" s="162">
        <f>'Sources Uses'!F18</f>
        <v>120</v>
      </c>
      <c r="F33" s="216">
        <f>B33+D33</f>
        <v>120</v>
      </c>
    </row>
    <row r="34" spans="1:6" ht="12.75">
      <c r="A34" s="172" t="s">
        <v>222</v>
      </c>
      <c r="B34" s="166">
        <v>0</v>
      </c>
      <c r="D34" s="162">
        <f>'Sources Uses'!F19</f>
        <v>90</v>
      </c>
      <c r="F34" s="216">
        <f>B34+D34</f>
        <v>90</v>
      </c>
    </row>
    <row r="35" spans="1:6" ht="12.75">
      <c r="A35" s="172" t="s">
        <v>49</v>
      </c>
      <c r="B35" s="166">
        <v>0</v>
      </c>
      <c r="D35" s="162">
        <f>'Sources Uses'!F20</f>
        <v>60</v>
      </c>
      <c r="F35" s="216">
        <f>B35+D35</f>
        <v>60</v>
      </c>
    </row>
    <row r="36" spans="1:6" ht="12.75">
      <c r="A36" s="16"/>
      <c r="B36" s="162"/>
      <c r="D36" s="162"/>
      <c r="F36" s="216"/>
    </row>
    <row r="37" spans="1:6" ht="12.75">
      <c r="A37" s="16" t="s">
        <v>40</v>
      </c>
      <c r="B37" s="173">
        <f>+Model!G78</f>
        <v>2</v>
      </c>
      <c r="D37" s="174">
        <v>0</v>
      </c>
      <c r="F37" s="220">
        <f>B37+D37</f>
        <v>2</v>
      </c>
    </row>
    <row r="38" spans="1:6" ht="12.75">
      <c r="A38" s="16" t="s">
        <v>55</v>
      </c>
      <c r="B38" s="162">
        <f>SUM(B24:B37)</f>
        <v>206.15550045807709</v>
      </c>
      <c r="D38" s="162">
        <f>SUM(D24:D37)</f>
        <v>79.24449954192289</v>
      </c>
      <c r="F38" s="216">
        <f>SUM(F24:F37)</f>
        <v>285.4</v>
      </c>
    </row>
    <row r="39" spans="1:6" ht="12.75">
      <c r="A39" s="16"/>
      <c r="B39" s="162"/>
      <c r="D39" s="162"/>
      <c r="F39" s="216"/>
    </row>
    <row r="40" spans="1:6" ht="12.75">
      <c r="A40" s="175" t="s">
        <v>50</v>
      </c>
      <c r="B40" s="162"/>
      <c r="D40" s="162"/>
      <c r="F40" s="216"/>
    </row>
    <row r="41" spans="1:6" ht="12.75">
      <c r="A41" s="17" t="s">
        <v>212</v>
      </c>
      <c r="B41" s="162">
        <f>+Model!G82</f>
        <v>94.04449954192287</v>
      </c>
      <c r="D41" s="162">
        <f>-B41-B68</f>
        <v>-100.04449954192287</v>
      </c>
      <c r="F41" s="216">
        <f>B41+D41</f>
        <v>-6</v>
      </c>
    </row>
    <row r="42" spans="1:6" ht="12.75">
      <c r="A42" s="17" t="s">
        <v>217</v>
      </c>
      <c r="B42" s="167">
        <f>+Model!G83</f>
        <v>10</v>
      </c>
      <c r="D42" s="173">
        <f>-B42+'Sources Uses'!F22</f>
        <v>94</v>
      </c>
      <c r="F42" s="218">
        <f>B42+D42</f>
        <v>104</v>
      </c>
    </row>
    <row r="43" spans="1:6" ht="12.75">
      <c r="A43" s="17" t="s">
        <v>100</v>
      </c>
      <c r="B43" s="162">
        <f>SUM(B41:B42)</f>
        <v>104.04449954192287</v>
      </c>
      <c r="D43" s="162">
        <f>SUM(D41:D42)</f>
        <v>-6.044499541922875</v>
      </c>
      <c r="F43" s="164">
        <f>SUM(F41:F42)</f>
        <v>98</v>
      </c>
    </row>
    <row r="44" spans="1:6" ht="12.75">
      <c r="A44" s="17"/>
      <c r="B44" s="162"/>
      <c r="D44" s="162"/>
      <c r="F44" s="164"/>
    </row>
    <row r="45" spans="1:6" ht="12.75">
      <c r="A45" s="149" t="s">
        <v>41</v>
      </c>
      <c r="B45" s="170">
        <f>B38+B43</f>
        <v>310.19999999999993</v>
      </c>
      <c r="D45" s="170">
        <f>D38+D43</f>
        <v>73.20000000000002</v>
      </c>
      <c r="F45" s="171">
        <f>F38+F43</f>
        <v>383.4</v>
      </c>
    </row>
    <row r="46" spans="1:6" ht="12.75">
      <c r="A46" s="14" t="s">
        <v>99</v>
      </c>
      <c r="B46" s="176">
        <f>B18-B45</f>
        <v>0</v>
      </c>
      <c r="D46" s="176">
        <f>D18-D45</f>
        <v>0</v>
      </c>
      <c r="F46" s="178">
        <f>F18-F45</f>
        <v>0</v>
      </c>
    </row>
    <row r="47" ht="12.75">
      <c r="B47" s="19"/>
    </row>
    <row r="48" ht="12.75">
      <c r="B48" s="19"/>
    </row>
    <row r="49" ht="12.75">
      <c r="B49" s="19"/>
    </row>
    <row r="50" spans="1:3" ht="17.25">
      <c r="A50" s="161" t="s">
        <v>203</v>
      </c>
      <c r="B50" s="15"/>
      <c r="C50" s="15"/>
    </row>
    <row r="51" spans="1:3" ht="12.75">
      <c r="A51" s="4"/>
      <c r="C51" s="1"/>
    </row>
    <row r="52" spans="1:2" ht="12.75">
      <c r="A52" s="179" t="s">
        <v>121</v>
      </c>
      <c r="B52" s="162">
        <f>'Sources Uses'!B16</f>
        <v>169.2444995419229</v>
      </c>
    </row>
    <row r="53" spans="1:2" ht="12.75">
      <c r="A53" s="180" t="s">
        <v>204</v>
      </c>
      <c r="B53" s="181">
        <f>-B43</f>
        <v>-104.04449954192287</v>
      </c>
    </row>
    <row r="54" spans="1:2" ht="12.75">
      <c r="A54" s="214" t="s">
        <v>205</v>
      </c>
      <c r="B54" s="170">
        <f>SUM(B52:B53)</f>
        <v>65.20000000000002</v>
      </c>
    </row>
    <row r="55" ht="12.75">
      <c r="B55" s="162"/>
    </row>
    <row r="56" ht="12.75">
      <c r="B56" s="162"/>
    </row>
    <row r="57" spans="1:3" ht="17.25">
      <c r="A57" s="222" t="s">
        <v>236</v>
      </c>
      <c r="B57" s="15"/>
      <c r="C57" s="15"/>
    </row>
    <row r="58" ht="12.75">
      <c r="B58" s="19"/>
    </row>
    <row r="59" spans="1:2" ht="12.75">
      <c r="A59" s="96" t="s">
        <v>134</v>
      </c>
      <c r="B59" s="177">
        <f>+'Sources Uses'!B18</f>
        <v>8</v>
      </c>
    </row>
    <row r="60" spans="1:2" ht="12.75">
      <c r="A60" s="121" t="s">
        <v>221</v>
      </c>
      <c r="B60" s="221">
        <f>SUM(B59:B59)</f>
        <v>8</v>
      </c>
    </row>
    <row r="61" ht="12.75">
      <c r="B61" s="19"/>
    </row>
    <row r="62" ht="12.75">
      <c r="B62" s="19"/>
    </row>
    <row r="63" spans="1:3" ht="17.25">
      <c r="A63" s="222" t="s">
        <v>237</v>
      </c>
      <c r="B63" s="15"/>
      <c r="C63" s="15"/>
    </row>
    <row r="64" ht="12.75">
      <c r="B64" s="19"/>
    </row>
    <row r="65" spans="1:2" ht="12.75">
      <c r="A65" s="223" t="s">
        <v>135</v>
      </c>
      <c r="B65" s="162">
        <f>'Sources Uses'!B19</f>
        <v>4</v>
      </c>
    </row>
    <row r="66" spans="1:2" ht="12.75">
      <c r="A66" s="223" t="s">
        <v>136</v>
      </c>
      <c r="B66" s="165">
        <f>'Sources Uses'!B20</f>
        <v>1</v>
      </c>
    </row>
    <row r="67" spans="1:2" ht="12.75">
      <c r="A67" s="223" t="s">
        <v>137</v>
      </c>
      <c r="B67" s="181">
        <f>'Sources Uses'!B21</f>
        <v>1</v>
      </c>
    </row>
    <row r="68" spans="1:2" ht="12.75">
      <c r="A68" s="121" t="s">
        <v>244</v>
      </c>
      <c r="B68" s="221">
        <f>SUM(B65:B67)</f>
        <v>6</v>
      </c>
    </row>
    <row r="69" ht="12.75">
      <c r="B69" s="19"/>
    </row>
    <row r="70" ht="12.75">
      <c r="B70" s="19"/>
    </row>
    <row r="71" ht="12.75">
      <c r="B71" s="19"/>
    </row>
    <row r="72" ht="12.75">
      <c r="B72" s="19"/>
    </row>
    <row r="73" ht="12.75">
      <c r="B73" s="19"/>
    </row>
    <row r="74" ht="12.75">
      <c r="B74" s="19"/>
    </row>
    <row r="75" ht="12.75">
      <c r="B75" s="19"/>
    </row>
    <row r="76" ht="12.75">
      <c r="B76" s="19"/>
    </row>
    <row r="77" ht="12.75">
      <c r="B77" s="19"/>
    </row>
    <row r="78" ht="12.75">
      <c r="B78" s="19"/>
    </row>
    <row r="79" ht="12.75">
      <c r="B79" s="19"/>
    </row>
    <row r="80" ht="12.75">
      <c r="B80" s="19"/>
    </row>
    <row r="81" ht="12.75">
      <c r="B81" s="19"/>
    </row>
    <row r="82" ht="12.75">
      <c r="B82" s="19"/>
    </row>
    <row r="83" ht="12.75">
      <c r="B83" s="19"/>
    </row>
    <row r="84" ht="12.75">
      <c r="B84" s="19"/>
    </row>
    <row r="85" ht="12.75">
      <c r="B85" s="19"/>
    </row>
    <row r="86" ht="12.75">
      <c r="B86" s="19"/>
    </row>
    <row r="87" ht="12.75">
      <c r="B87" s="19"/>
    </row>
    <row r="88" ht="12.75">
      <c r="B88" s="19"/>
    </row>
    <row r="89" ht="12.75">
      <c r="B89" s="19"/>
    </row>
    <row r="90" ht="12.75">
      <c r="B90" s="19"/>
    </row>
    <row r="91" ht="12.75">
      <c r="B91" s="19"/>
    </row>
    <row r="92" ht="12.75">
      <c r="B92" s="19"/>
    </row>
    <row r="93" ht="12.75">
      <c r="B93" s="1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9"/>
  <sheetViews>
    <sheetView zoomScaleSheetLayoutView="100" zoomScalePageLayoutView="0" workbookViewId="0" topLeftCell="A1">
      <selection activeCell="H31" sqref="H31"/>
    </sheetView>
  </sheetViews>
  <sheetFormatPr defaultColWidth="9.140625" defaultRowHeight="12.75"/>
  <cols>
    <col min="1" max="1" width="26.7109375" style="1" customWidth="1"/>
    <col min="2" max="2" width="9.7109375" style="1" bestFit="1" customWidth="1"/>
    <col min="3" max="3" width="9.28125" style="1" bestFit="1" customWidth="1"/>
    <col min="4" max="6" width="9.421875" style="1" bestFit="1" customWidth="1"/>
    <col min="7" max="12" width="9.28125" style="1" bestFit="1" customWidth="1"/>
    <col min="13" max="15" width="9.140625" style="1" customWidth="1"/>
    <col min="16" max="16" width="9.28125" style="1" bestFit="1" customWidth="1"/>
    <col min="17" max="16384" width="9.140625" style="1" customWidth="1"/>
  </cols>
  <sheetData>
    <row r="1" spans="1:12" ht="15">
      <c r="A1" s="57" t="s">
        <v>104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ht="12.75">
      <c r="A2" s="4" t="s">
        <v>109</v>
      </c>
    </row>
    <row r="4" spans="3:12" ht="12.75">
      <c r="C4" s="2" t="s">
        <v>107</v>
      </c>
      <c r="D4" s="2"/>
      <c r="E4" s="2"/>
      <c r="F4" s="2"/>
      <c r="G4" s="56"/>
      <c r="H4" s="2" t="s">
        <v>108</v>
      </c>
      <c r="I4" s="2"/>
      <c r="J4" s="2"/>
      <c r="K4" s="2"/>
      <c r="L4" s="2"/>
    </row>
    <row r="5" spans="3:12" ht="12.75">
      <c r="C5" s="2" t="s">
        <v>1</v>
      </c>
      <c r="D5" s="2"/>
      <c r="E5" s="2"/>
      <c r="F5" s="2"/>
      <c r="G5" s="56"/>
      <c r="H5" s="2" t="s">
        <v>1</v>
      </c>
      <c r="I5" s="2"/>
      <c r="J5" s="2"/>
      <c r="K5" s="2"/>
      <c r="L5" s="2"/>
    </row>
    <row r="6" spans="3:12" ht="12.75">
      <c r="C6" s="7">
        <v>2004</v>
      </c>
      <c r="D6" s="7">
        <f aca="true" t="shared" si="0" ref="D6:L6">C6+1</f>
        <v>2005</v>
      </c>
      <c r="E6" s="7">
        <f t="shared" si="0"/>
        <v>2006</v>
      </c>
      <c r="F6" s="7">
        <f t="shared" si="0"/>
        <v>2007</v>
      </c>
      <c r="G6" s="40">
        <f t="shared" si="0"/>
        <v>2008</v>
      </c>
      <c r="H6" s="8">
        <f t="shared" si="0"/>
        <v>2009</v>
      </c>
      <c r="I6" s="8">
        <f t="shared" si="0"/>
        <v>2010</v>
      </c>
      <c r="J6" s="8">
        <f t="shared" si="0"/>
        <v>2011</v>
      </c>
      <c r="K6" s="8">
        <f t="shared" si="0"/>
        <v>2012</v>
      </c>
      <c r="L6" s="8">
        <f t="shared" si="0"/>
        <v>2013</v>
      </c>
    </row>
    <row r="7" spans="1:12" ht="12.75">
      <c r="A7" s="21" t="s">
        <v>68</v>
      </c>
      <c r="C7" s="7"/>
      <c r="D7" s="7"/>
      <c r="E7" s="7"/>
      <c r="F7" s="7"/>
      <c r="G7" s="40"/>
      <c r="H7" s="8"/>
      <c r="I7" s="8"/>
      <c r="J7" s="8"/>
      <c r="K7" s="8"/>
      <c r="L7" s="8"/>
    </row>
    <row r="8" spans="1:12" ht="12.75">
      <c r="A8" s="1" t="s">
        <v>5</v>
      </c>
      <c r="C8" s="9" t="str">
        <f>Model!C8</f>
        <v>na</v>
      </c>
      <c r="D8" s="9">
        <f>Model!D8</f>
        <v>0.0625</v>
      </c>
      <c r="E8" s="9">
        <f>Model!E8</f>
        <v>0.05882352941176472</v>
      </c>
      <c r="F8" s="9">
        <f>Model!F8</f>
        <v>0.05555555555555558</v>
      </c>
      <c r="G8" s="53">
        <f>Model!G8</f>
        <v>0.05263157894736836</v>
      </c>
      <c r="H8" s="10">
        <v>0.05</v>
      </c>
      <c r="I8" s="10">
        <v>0.05</v>
      </c>
      <c r="J8" s="10">
        <v>0.05</v>
      </c>
      <c r="K8" s="10">
        <v>0.05</v>
      </c>
      <c r="L8" s="10">
        <v>0.05</v>
      </c>
    </row>
    <row r="9" spans="3:12" ht="12.75">
      <c r="C9" s="9"/>
      <c r="D9" s="9"/>
      <c r="E9" s="9"/>
      <c r="F9" s="9"/>
      <c r="G9" s="53"/>
      <c r="H9" s="9"/>
      <c r="I9" s="9"/>
      <c r="J9" s="9"/>
      <c r="K9" s="9"/>
      <c r="L9" s="9"/>
    </row>
    <row r="10" spans="1:12" ht="12.75">
      <c r="A10" s="1" t="s">
        <v>9</v>
      </c>
      <c r="C10" s="9">
        <f>Model!C11</f>
        <v>0.42000000000000004</v>
      </c>
      <c r="D10" s="9">
        <f>Model!D11</f>
        <v>0.415</v>
      </c>
      <c r="E10" s="9">
        <f>Model!E11</f>
        <v>0.41</v>
      </c>
      <c r="F10" s="9">
        <f>Model!F11</f>
        <v>0.41</v>
      </c>
      <c r="G10" s="53">
        <f>Model!G11</f>
        <v>0.4</v>
      </c>
      <c r="H10" s="10">
        <v>0.4</v>
      </c>
      <c r="I10" s="10">
        <v>0.4</v>
      </c>
      <c r="J10" s="10">
        <v>0.4</v>
      </c>
      <c r="K10" s="10">
        <v>0.4</v>
      </c>
      <c r="L10" s="10">
        <v>0.4</v>
      </c>
    </row>
    <row r="11" spans="3:12" ht="12.75">
      <c r="C11" s="6"/>
      <c r="D11" s="6"/>
      <c r="E11" s="6"/>
      <c r="F11" s="6"/>
      <c r="G11" s="48"/>
      <c r="H11" s="6"/>
      <c r="I11" s="6"/>
      <c r="J11" s="6"/>
      <c r="K11" s="6"/>
      <c r="L11" s="6"/>
    </row>
    <row r="12" spans="1:12" ht="12.75">
      <c r="A12" s="1" t="s">
        <v>113</v>
      </c>
      <c r="C12" s="61">
        <f>Model!C16/Model!C53</f>
        <v>0.01803751803751804</v>
      </c>
      <c r="D12" s="61">
        <f>Model!D16/Model!D53</f>
        <v>0.017409470752089137</v>
      </c>
      <c r="E12" s="61">
        <f>Model!E16/Model!E53</f>
        <v>0.01676727028839705</v>
      </c>
      <c r="F12" s="61">
        <f>Model!F16/Model!F53</f>
        <v>0.016118633139909737</v>
      </c>
      <c r="G12" s="62">
        <f>Model!G16/Model!G53</f>
        <v>0.01547029702970297</v>
      </c>
      <c r="H12" s="63">
        <v>0.02</v>
      </c>
      <c r="I12" s="63">
        <v>0.02</v>
      </c>
      <c r="J12" s="63">
        <v>0.02</v>
      </c>
      <c r="K12" s="63">
        <v>0.02</v>
      </c>
      <c r="L12" s="63">
        <v>0.02</v>
      </c>
    </row>
    <row r="13" spans="1:12" ht="12.75">
      <c r="A13" s="1" t="s">
        <v>226</v>
      </c>
      <c r="C13" s="19">
        <v>0</v>
      </c>
      <c r="D13" s="19">
        <v>0</v>
      </c>
      <c r="E13" s="19">
        <v>0</v>
      </c>
      <c r="F13" s="19">
        <v>0</v>
      </c>
      <c r="G13" s="41">
        <v>0</v>
      </c>
      <c r="H13" s="19">
        <f>+'PF Bal Sht'!$F$16/Assumptions!$H$14</f>
        <v>1.6</v>
      </c>
      <c r="I13" s="19">
        <f>+'PF Bal Sht'!$F$16/Assumptions!$H$14</f>
        <v>1.6</v>
      </c>
      <c r="J13" s="19">
        <f>+'PF Bal Sht'!$F$16/Assumptions!$H$14</f>
        <v>1.6</v>
      </c>
      <c r="K13" s="19">
        <f>+'PF Bal Sht'!$F$16/Assumptions!$H$14</f>
        <v>1.6</v>
      </c>
      <c r="L13" s="19">
        <f>+'PF Bal Sht'!$F$16/Assumptions!$H$14</f>
        <v>1.6</v>
      </c>
    </row>
    <row r="14" spans="1:12" ht="12.75">
      <c r="A14" s="1" t="s">
        <v>227</v>
      </c>
      <c r="C14" s="19"/>
      <c r="D14" s="19"/>
      <c r="E14" s="19"/>
      <c r="F14" s="19"/>
      <c r="G14" s="41"/>
      <c r="H14" s="25">
        <v>5</v>
      </c>
      <c r="I14" s="65"/>
      <c r="J14" s="65"/>
      <c r="K14" s="65"/>
      <c r="L14" s="65"/>
    </row>
    <row r="15" spans="3:12" ht="12.75">
      <c r="C15" s="6"/>
      <c r="D15" s="6"/>
      <c r="E15" s="6"/>
      <c r="F15" s="6"/>
      <c r="G15" s="48"/>
      <c r="H15" s="6"/>
      <c r="I15" s="6"/>
      <c r="J15" s="6"/>
      <c r="K15" s="6"/>
      <c r="L15" s="6"/>
    </row>
    <row r="16" spans="1:12" ht="12.75">
      <c r="A16" s="1" t="s">
        <v>15</v>
      </c>
      <c r="C16" s="64">
        <f>Model!C20</f>
        <v>0.3</v>
      </c>
      <c r="D16" s="64">
        <f>Model!D20</f>
        <v>0.3</v>
      </c>
      <c r="E16" s="64">
        <f>Model!E20</f>
        <v>0.3</v>
      </c>
      <c r="F16" s="64">
        <f>Model!F20</f>
        <v>0.3</v>
      </c>
      <c r="G16" s="66">
        <f>Model!G20</f>
        <v>0.3</v>
      </c>
      <c r="H16" s="63">
        <v>0.3</v>
      </c>
      <c r="I16" s="63">
        <v>0.3</v>
      </c>
      <c r="J16" s="63">
        <v>0.3</v>
      </c>
      <c r="K16" s="63">
        <v>0.3</v>
      </c>
      <c r="L16" s="63">
        <v>0.3</v>
      </c>
    </row>
    <row r="17" spans="3:12" ht="12.75">
      <c r="C17" s="6"/>
      <c r="D17" s="6"/>
      <c r="E17" s="6"/>
      <c r="F17" s="6"/>
      <c r="G17" s="48"/>
      <c r="H17" s="6"/>
      <c r="I17" s="6"/>
      <c r="J17" s="6"/>
      <c r="K17" s="6"/>
      <c r="L17" s="6"/>
    </row>
    <row r="18" spans="1:14" ht="12.75">
      <c r="A18" s="1" t="s">
        <v>21</v>
      </c>
      <c r="C18" s="19">
        <f>Model!C33</f>
        <v>2</v>
      </c>
      <c r="D18" s="19">
        <f>Model!D33</f>
        <v>0</v>
      </c>
      <c r="E18" s="19">
        <f>Model!E33</f>
        <v>-2</v>
      </c>
      <c r="F18" s="19">
        <f>Model!F33</f>
        <v>1</v>
      </c>
      <c r="G18" s="41">
        <f>Model!G33</f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3"/>
      <c r="N18" s="3"/>
    </row>
    <row r="19" spans="3:12" ht="12.75">
      <c r="C19" s="6"/>
      <c r="D19" s="6"/>
      <c r="E19" s="6"/>
      <c r="F19" s="6"/>
      <c r="G19" s="48"/>
      <c r="H19" s="6"/>
      <c r="I19" s="6"/>
      <c r="J19" s="6"/>
      <c r="K19" s="6"/>
      <c r="L19" s="6"/>
    </row>
    <row r="20" spans="1:12" ht="12.75">
      <c r="A20" s="1" t="s">
        <v>24</v>
      </c>
      <c r="C20" s="64">
        <f>Model!C38</f>
        <v>0.4</v>
      </c>
      <c r="D20" s="64">
        <f>Model!D38</f>
        <v>0.4</v>
      </c>
      <c r="E20" s="64">
        <f>Model!E38</f>
        <v>0.4</v>
      </c>
      <c r="F20" s="64">
        <f>Model!F38</f>
        <v>0.4</v>
      </c>
      <c r="G20" s="66">
        <f>Model!G38</f>
        <v>0.4</v>
      </c>
      <c r="H20" s="63">
        <v>0.4</v>
      </c>
      <c r="I20" s="63">
        <v>0.4</v>
      </c>
      <c r="J20" s="63">
        <v>0.4</v>
      </c>
      <c r="K20" s="63">
        <v>0.4</v>
      </c>
      <c r="L20" s="63">
        <v>0.4</v>
      </c>
    </row>
    <row r="21" spans="3:12" ht="12.75">
      <c r="C21" s="6"/>
      <c r="D21" s="6"/>
      <c r="E21" s="6"/>
      <c r="F21" s="6"/>
      <c r="G21" s="48"/>
      <c r="H21" s="6"/>
      <c r="I21" s="6"/>
      <c r="J21" s="6"/>
      <c r="K21" s="6"/>
      <c r="L21" s="6"/>
    </row>
    <row r="22" spans="1:12" ht="12.75">
      <c r="A22" s="21" t="s">
        <v>67</v>
      </c>
      <c r="C22" s="6"/>
      <c r="D22" s="6"/>
      <c r="E22" s="6"/>
      <c r="F22" s="6"/>
      <c r="G22" s="48"/>
      <c r="H22" s="6"/>
      <c r="I22" s="6"/>
      <c r="J22" s="6"/>
      <c r="K22" s="6"/>
      <c r="L22" s="6"/>
    </row>
    <row r="23" spans="1:13" ht="12.75">
      <c r="A23" s="1" t="s">
        <v>69</v>
      </c>
      <c r="C23" s="24">
        <f>Model!C48/Model!C7*360</f>
        <v>27</v>
      </c>
      <c r="D23" s="24">
        <f>Model!D48/Model!D7*360</f>
        <v>27.529411764705884</v>
      </c>
      <c r="E23" s="24">
        <f>Model!E48/Model!E7*360</f>
        <v>28</v>
      </c>
      <c r="F23" s="24">
        <f>Model!F48/Model!F7*360</f>
        <v>28.421052631578945</v>
      </c>
      <c r="G23" s="58">
        <f>Model!G48/Model!G7*360</f>
        <v>28.8</v>
      </c>
      <c r="H23" s="25">
        <v>30</v>
      </c>
      <c r="I23" s="25">
        <v>30</v>
      </c>
      <c r="J23" s="25">
        <v>30</v>
      </c>
      <c r="K23" s="25">
        <v>30</v>
      </c>
      <c r="L23" s="25">
        <v>30</v>
      </c>
      <c r="M23" s="23"/>
    </row>
    <row r="24" spans="1:13" ht="12.75">
      <c r="A24" s="1" t="s">
        <v>70</v>
      </c>
      <c r="C24" s="24">
        <f>Model!C49/Model!C10*360</f>
        <v>42.857142857142854</v>
      </c>
      <c r="D24" s="24">
        <f>Model!D49/Model!D10*360</f>
        <v>43.373493975903614</v>
      </c>
      <c r="E24" s="24">
        <f>Model!E49/Model!E10*360</f>
        <v>43.90243902439025</v>
      </c>
      <c r="F24" s="24">
        <f>Model!F49/Model!F10*360</f>
        <v>43.90243902439025</v>
      </c>
      <c r="G24" s="58">
        <f>Model!G49/Model!G10*360</f>
        <v>45</v>
      </c>
      <c r="H24" s="25">
        <v>45</v>
      </c>
      <c r="I24" s="25">
        <v>45</v>
      </c>
      <c r="J24" s="25">
        <v>45</v>
      </c>
      <c r="K24" s="25">
        <v>45</v>
      </c>
      <c r="L24" s="25">
        <v>45</v>
      </c>
      <c r="M24" s="23"/>
    </row>
    <row r="25" spans="1:13" ht="12.75">
      <c r="A25" s="1" t="s">
        <v>35</v>
      </c>
      <c r="C25" s="19">
        <f>Model!C50</f>
        <v>1</v>
      </c>
      <c r="D25" s="19">
        <f>Model!D50</f>
        <v>1</v>
      </c>
      <c r="E25" s="19">
        <f>Model!E50</f>
        <v>1</v>
      </c>
      <c r="F25" s="19">
        <f>Model!F50</f>
        <v>1</v>
      </c>
      <c r="G25" s="41">
        <f>Model!G50</f>
        <v>1</v>
      </c>
      <c r="H25" s="65">
        <v>1</v>
      </c>
      <c r="I25" s="65">
        <v>1</v>
      </c>
      <c r="J25" s="65">
        <v>1</v>
      </c>
      <c r="K25" s="65">
        <v>1</v>
      </c>
      <c r="L25" s="65">
        <v>1</v>
      </c>
      <c r="M25" s="23"/>
    </row>
    <row r="26" spans="1:13" ht="12.75">
      <c r="A26" s="1" t="s">
        <v>218</v>
      </c>
      <c r="C26" s="19">
        <f>+Model!C57</f>
        <v>0</v>
      </c>
      <c r="D26" s="19">
        <f>+Model!D57</f>
        <v>0</v>
      </c>
      <c r="E26" s="19">
        <f>+Model!E57</f>
        <v>0</v>
      </c>
      <c r="F26" s="19">
        <f>+Model!F57</f>
        <v>0</v>
      </c>
      <c r="G26" s="41">
        <f>+Model!G57</f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23"/>
    </row>
    <row r="27" spans="3:13" ht="12.75">
      <c r="C27" s="19"/>
      <c r="D27" s="19"/>
      <c r="E27" s="19"/>
      <c r="F27" s="19"/>
      <c r="G27" s="41"/>
      <c r="H27" s="65"/>
      <c r="I27" s="65"/>
      <c r="J27" s="65"/>
      <c r="K27" s="65"/>
      <c r="L27" s="65"/>
      <c r="M27" s="23"/>
    </row>
    <row r="28" spans="1:13" ht="12.75">
      <c r="A28" s="1" t="s">
        <v>71</v>
      </c>
      <c r="C28" s="67" t="s">
        <v>4</v>
      </c>
      <c r="D28" s="9">
        <f>-Model!D105/Model!D7</f>
        <v>0.058823529411764705</v>
      </c>
      <c r="E28" s="9">
        <f>-Model!E105/Model!E7</f>
        <v>0.06111111111111111</v>
      </c>
      <c r="F28" s="9">
        <f>-Model!F105/Model!F7</f>
        <v>0.06315789473684211</v>
      </c>
      <c r="G28" s="66">
        <f>-Model!G105/Model!G7</f>
        <v>0.065</v>
      </c>
      <c r="H28" s="63">
        <v>0.05</v>
      </c>
      <c r="I28" s="63">
        <v>0.05</v>
      </c>
      <c r="J28" s="63">
        <v>0.05</v>
      </c>
      <c r="K28" s="63">
        <v>0.05</v>
      </c>
      <c r="L28" s="63">
        <v>0.05</v>
      </c>
      <c r="M28" s="23"/>
    </row>
    <row r="29" spans="1:13" ht="12.75">
      <c r="A29" s="1" t="s">
        <v>72</v>
      </c>
      <c r="C29" s="68" t="str">
        <f>Model!C106</f>
        <v>na</v>
      </c>
      <c r="D29" s="69">
        <f>Model!D106</f>
        <v>0</v>
      </c>
      <c r="E29" s="69">
        <f>Model!E106</f>
        <v>0</v>
      </c>
      <c r="F29" s="69">
        <f>Model!F106</f>
        <v>0</v>
      </c>
      <c r="G29" s="70">
        <f>Model!G106</f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23"/>
    </row>
    <row r="30" spans="1:13" ht="12.75">
      <c r="A30" s="1" t="s">
        <v>97</v>
      </c>
      <c r="C30" s="24">
        <f>Model!C62/Model!C10*360</f>
        <v>45.535714285714285</v>
      </c>
      <c r="D30" s="24">
        <f>Model!D62/Model!D10*360</f>
        <v>45.924875974486184</v>
      </c>
      <c r="E30" s="24">
        <f>Model!E62/Model!E10*360</f>
        <v>46.34146341463415</v>
      </c>
      <c r="F30" s="24">
        <f>Model!F62/Model!F10*360</f>
        <v>46.213093709884475</v>
      </c>
      <c r="G30" s="58">
        <f>Model!G62/Model!G10*360</f>
        <v>49.50000000000001</v>
      </c>
      <c r="H30" s="25">
        <v>50</v>
      </c>
      <c r="I30" s="25">
        <v>50</v>
      </c>
      <c r="J30" s="25">
        <v>50</v>
      </c>
      <c r="K30" s="25">
        <v>50</v>
      </c>
      <c r="L30" s="25">
        <v>50</v>
      </c>
      <c r="M30" s="23"/>
    </row>
    <row r="31" spans="1:13" ht="12.75">
      <c r="A31" s="1" t="s">
        <v>98</v>
      </c>
      <c r="C31" s="9">
        <f>Model!C63/Model!C10</f>
        <v>0.02976190476190476</v>
      </c>
      <c r="D31" s="9">
        <f>Model!D63/Model!D10</f>
        <v>0.0297661233167966</v>
      </c>
      <c r="E31" s="9">
        <f>Model!E63/Model!E10</f>
        <v>0.029810298102981032</v>
      </c>
      <c r="F31" s="9">
        <f>Model!F63/Model!F10</f>
        <v>0.029525032092426188</v>
      </c>
      <c r="G31" s="53">
        <f>Model!G63/Model!G10</f>
        <v>0.03</v>
      </c>
      <c r="H31" s="10">
        <v>0.03</v>
      </c>
      <c r="I31" s="10">
        <v>0.03</v>
      </c>
      <c r="J31" s="10">
        <v>0.03</v>
      </c>
      <c r="K31" s="10">
        <v>0.03</v>
      </c>
      <c r="L31" s="10">
        <v>0.03</v>
      </c>
      <c r="M31" s="23"/>
    </row>
    <row r="32" spans="1:13" ht="12.75">
      <c r="A32" s="1" t="s">
        <v>243</v>
      </c>
      <c r="C32" s="9">
        <f>+Model!C64/Model!C10</f>
        <v>0.01488095238095238</v>
      </c>
      <c r="D32" s="9">
        <f>+Model!D64/Model!D10</f>
        <v>0</v>
      </c>
      <c r="E32" s="9">
        <f>+Model!E64/Model!E10</f>
        <v>0.02710027100271003</v>
      </c>
      <c r="F32" s="9">
        <f>+Model!F64/Model!F10</f>
        <v>0.012836970474967908</v>
      </c>
      <c r="G32" s="53">
        <f>+Model!G64/Model!G10</f>
        <v>0</v>
      </c>
      <c r="H32" s="10">
        <v>0.02</v>
      </c>
      <c r="I32" s="10">
        <v>0.02</v>
      </c>
      <c r="J32" s="10">
        <v>0.02</v>
      </c>
      <c r="K32" s="10">
        <v>0.02</v>
      </c>
      <c r="L32" s="10">
        <v>0.02</v>
      </c>
      <c r="M32" s="23"/>
    </row>
    <row r="33" spans="1:13" ht="12.75">
      <c r="A33" s="1" t="s">
        <v>111</v>
      </c>
      <c r="C33" s="69">
        <f>Model!C78</f>
        <v>1</v>
      </c>
      <c r="D33" s="69">
        <f>Model!D78</f>
        <v>2</v>
      </c>
      <c r="E33" s="69">
        <f>Model!E78</f>
        <v>1</v>
      </c>
      <c r="F33" s="69">
        <f>Model!F78</f>
        <v>0</v>
      </c>
      <c r="G33" s="70">
        <f>Model!G78</f>
        <v>2</v>
      </c>
      <c r="H33" s="71">
        <v>2</v>
      </c>
      <c r="I33" s="71">
        <v>2</v>
      </c>
      <c r="J33" s="71">
        <v>2</v>
      </c>
      <c r="K33" s="71">
        <v>2</v>
      </c>
      <c r="L33" s="71">
        <v>2</v>
      </c>
      <c r="M33" s="23"/>
    </row>
    <row r="34" spans="3:13" ht="12.75">
      <c r="C34" s="23"/>
      <c r="D34" s="23"/>
      <c r="E34" s="23"/>
      <c r="F34" s="23"/>
      <c r="G34" s="59"/>
      <c r="H34" s="23"/>
      <c r="I34" s="23"/>
      <c r="J34" s="23"/>
      <c r="K34" s="23"/>
      <c r="L34" s="23"/>
      <c r="M34" s="23"/>
    </row>
    <row r="35" spans="1:13" ht="12.75">
      <c r="A35" s="1" t="s">
        <v>114</v>
      </c>
      <c r="C35" s="69">
        <v>0</v>
      </c>
      <c r="D35" s="69">
        <v>0</v>
      </c>
      <c r="E35" s="69">
        <v>0</v>
      </c>
      <c r="F35" s="69">
        <v>0</v>
      </c>
      <c r="G35" s="70">
        <v>0</v>
      </c>
      <c r="H35" s="88">
        <v>0</v>
      </c>
      <c r="I35" s="88">
        <v>0</v>
      </c>
      <c r="J35" s="88">
        <v>0</v>
      </c>
      <c r="K35" s="88">
        <v>0</v>
      </c>
      <c r="L35" s="88">
        <v>0</v>
      </c>
      <c r="M35" s="23"/>
    </row>
    <row r="36" spans="3:13" ht="12.75">
      <c r="C36" s="23"/>
      <c r="D36" s="23"/>
      <c r="E36" s="23"/>
      <c r="F36" s="23"/>
      <c r="G36" s="59"/>
      <c r="H36" s="23"/>
      <c r="I36" s="23"/>
      <c r="J36" s="23"/>
      <c r="K36" s="23"/>
      <c r="L36" s="23"/>
      <c r="M36" s="23"/>
    </row>
    <row r="37" spans="1:13" ht="12.75">
      <c r="A37" s="27" t="s">
        <v>241</v>
      </c>
      <c r="C37" s="28"/>
      <c r="D37" s="23"/>
      <c r="E37" s="23"/>
      <c r="F37" s="23"/>
      <c r="G37" s="59"/>
      <c r="H37" s="23"/>
      <c r="I37" s="23"/>
      <c r="J37" s="23"/>
      <c r="K37" s="23"/>
      <c r="L37" s="23"/>
      <c r="M37" s="23"/>
    </row>
    <row r="38" spans="1:13" ht="12.75">
      <c r="A38" s="1" t="s">
        <v>87</v>
      </c>
      <c r="B38" s="82"/>
      <c r="C38" s="84">
        <v>0.04</v>
      </c>
      <c r="D38" s="84">
        <v>0.04</v>
      </c>
      <c r="E38" s="84">
        <v>0.04</v>
      </c>
      <c r="F38" s="84">
        <v>0.04</v>
      </c>
      <c r="G38" s="85">
        <v>0.04</v>
      </c>
      <c r="H38" s="29">
        <v>0.0425</v>
      </c>
      <c r="I38" s="29">
        <f aca="true" t="shared" si="1" ref="I38:L39">H38+0.25%</f>
        <v>0.045000000000000005</v>
      </c>
      <c r="J38" s="29">
        <f t="shared" si="1"/>
        <v>0.04750000000000001</v>
      </c>
      <c r="K38" s="29">
        <f t="shared" si="1"/>
        <v>0.05000000000000001</v>
      </c>
      <c r="L38" s="29">
        <f t="shared" si="1"/>
        <v>0.05250000000000001</v>
      </c>
      <c r="M38" s="23"/>
    </row>
    <row r="39" spans="1:13" ht="12.75">
      <c r="A39" s="1" t="s">
        <v>94</v>
      </c>
      <c r="B39" s="83">
        <v>0.02</v>
      </c>
      <c r="C39" s="29">
        <f>B39</f>
        <v>0.02</v>
      </c>
      <c r="D39" s="29">
        <f>C39</f>
        <v>0.02</v>
      </c>
      <c r="E39" s="29">
        <f>D39</f>
        <v>0.02</v>
      </c>
      <c r="F39" s="29">
        <f>E39</f>
        <v>0.02</v>
      </c>
      <c r="G39" s="60">
        <f>F39</f>
        <v>0.02</v>
      </c>
      <c r="H39" s="29">
        <f>G39+0.25%</f>
        <v>0.0225</v>
      </c>
      <c r="I39" s="29">
        <f t="shared" si="1"/>
        <v>0.024999999999999998</v>
      </c>
      <c r="J39" s="29">
        <f t="shared" si="1"/>
        <v>0.027499999999999997</v>
      </c>
      <c r="K39" s="29">
        <f t="shared" si="1"/>
        <v>0.029999999999999995</v>
      </c>
      <c r="L39" s="29">
        <f t="shared" si="1"/>
        <v>0.032499999999999994</v>
      </c>
      <c r="M39" s="23"/>
    </row>
    <row r="40" spans="2:13" ht="12.75">
      <c r="B40" s="83"/>
      <c r="C40" s="29"/>
      <c r="D40" s="29"/>
      <c r="E40" s="29"/>
      <c r="F40" s="29"/>
      <c r="G40" s="60"/>
      <c r="H40" s="29"/>
      <c r="I40" s="29"/>
      <c r="J40" s="29"/>
      <c r="K40" s="29"/>
      <c r="L40" s="29"/>
      <c r="M40" s="23"/>
    </row>
    <row r="41" spans="1:13" ht="12.75">
      <c r="A41" s="1" t="s">
        <v>86</v>
      </c>
      <c r="B41" s="86">
        <v>0.02</v>
      </c>
      <c r="C41" s="29">
        <f>B41+C38</f>
        <v>0.06</v>
      </c>
      <c r="D41" s="29">
        <f>$B$41+D38</f>
        <v>0.06</v>
      </c>
      <c r="E41" s="29">
        <f>$B$41+E38</f>
        <v>0.06</v>
      </c>
      <c r="F41" s="29">
        <f>$B$41+F38</f>
        <v>0.06</v>
      </c>
      <c r="G41" s="60">
        <f>$B$41+G38</f>
        <v>0.06</v>
      </c>
      <c r="H41" s="29">
        <f>+'Sources Uses'!$I$17</f>
        <v>0.07</v>
      </c>
      <c r="I41" s="29">
        <f>+'Sources Uses'!$I$17</f>
        <v>0.07</v>
      </c>
      <c r="J41" s="29">
        <f>+'Sources Uses'!$I$17</f>
        <v>0.07</v>
      </c>
      <c r="K41" s="29">
        <f>+'Sources Uses'!$I$17</f>
        <v>0.07</v>
      </c>
      <c r="L41" s="29">
        <f>+'Sources Uses'!$I$17</f>
        <v>0.07</v>
      </c>
      <c r="M41" s="23"/>
    </row>
    <row r="42" spans="1:13" ht="12.75">
      <c r="A42" s="1" t="s">
        <v>54</v>
      </c>
      <c r="B42" s="86">
        <v>0.025</v>
      </c>
      <c r="C42" s="29">
        <f>$B$42+C38</f>
        <v>0.065</v>
      </c>
      <c r="D42" s="29">
        <f>$B$42+D38</f>
        <v>0.065</v>
      </c>
      <c r="E42" s="29">
        <f>$B$42+E38</f>
        <v>0.065</v>
      </c>
      <c r="F42" s="29">
        <f>$B$42+F38</f>
        <v>0.065</v>
      </c>
      <c r="G42" s="60">
        <f>$B$42+G38</f>
        <v>0.065</v>
      </c>
      <c r="H42" s="29">
        <f>+'Sources Uses'!$I$18</f>
        <v>0.075</v>
      </c>
      <c r="I42" s="29">
        <f>+'Sources Uses'!$I$18</f>
        <v>0.075</v>
      </c>
      <c r="J42" s="29">
        <f>+'Sources Uses'!$I$18</f>
        <v>0.075</v>
      </c>
      <c r="K42" s="29">
        <f>+'Sources Uses'!$I$18</f>
        <v>0.075</v>
      </c>
      <c r="L42" s="29">
        <f>+'Sources Uses'!$I$18</f>
        <v>0.075</v>
      </c>
      <c r="M42" s="23"/>
    </row>
    <row r="43" spans="1:13" ht="12.75">
      <c r="A43" s="1" t="s">
        <v>238</v>
      </c>
      <c r="B43" s="86"/>
      <c r="C43" s="29">
        <v>0</v>
      </c>
      <c r="D43" s="29">
        <v>0</v>
      </c>
      <c r="E43" s="29">
        <v>0</v>
      </c>
      <c r="F43" s="29">
        <v>0</v>
      </c>
      <c r="G43" s="60">
        <v>0</v>
      </c>
      <c r="H43" s="29">
        <f>+'Sources Uses'!$I$19</f>
        <v>0.095</v>
      </c>
      <c r="I43" s="29">
        <f>+'Sources Uses'!$I$19</f>
        <v>0.095</v>
      </c>
      <c r="J43" s="29">
        <f>+'Sources Uses'!$I$19</f>
        <v>0.095</v>
      </c>
      <c r="K43" s="29">
        <f>+'Sources Uses'!$I$19</f>
        <v>0.095</v>
      </c>
      <c r="L43" s="29">
        <f>+'Sources Uses'!$I$19</f>
        <v>0.095</v>
      </c>
      <c r="M43" s="23"/>
    </row>
    <row r="44" spans="1:13" ht="12.75">
      <c r="A44" s="1" t="s">
        <v>216</v>
      </c>
      <c r="B44" s="81">
        <v>0.12</v>
      </c>
      <c r="C44" s="29">
        <f>$B$44</f>
        <v>0.12</v>
      </c>
      <c r="D44" s="29">
        <f>$B$44</f>
        <v>0.12</v>
      </c>
      <c r="E44" s="29">
        <f>$B$44</f>
        <v>0.12</v>
      </c>
      <c r="F44" s="29">
        <f>$B$44</f>
        <v>0.12</v>
      </c>
      <c r="G44" s="60">
        <f>$B$44</f>
        <v>0.12</v>
      </c>
      <c r="H44" s="29">
        <f>+'Sources Uses'!$I$20</f>
        <v>0</v>
      </c>
      <c r="I44" s="29">
        <f>+'Sources Uses'!$I$20</f>
        <v>0</v>
      </c>
      <c r="J44" s="29">
        <f>+'Sources Uses'!$I$20</f>
        <v>0</v>
      </c>
      <c r="K44" s="29">
        <f>+'Sources Uses'!$I$20</f>
        <v>0</v>
      </c>
      <c r="L44" s="29">
        <f>+'Sources Uses'!$I$20</f>
        <v>0</v>
      </c>
      <c r="M44" s="23"/>
    </row>
    <row r="45" spans="2:13" ht="12.75">
      <c r="B45" s="82"/>
      <c r="C45" s="23"/>
      <c r="D45" s="23"/>
      <c r="E45" s="23"/>
      <c r="F45" s="23"/>
      <c r="G45" s="59"/>
      <c r="H45" s="23"/>
      <c r="I45" s="23"/>
      <c r="J45" s="23"/>
      <c r="K45" s="23"/>
      <c r="L45" s="23"/>
      <c r="M45" s="23"/>
    </row>
    <row r="46" spans="1:13" ht="12.75">
      <c r="A46" s="1" t="s">
        <v>239</v>
      </c>
      <c r="B46" s="82"/>
      <c r="C46" s="29">
        <v>0</v>
      </c>
      <c r="D46" s="29">
        <v>0</v>
      </c>
      <c r="E46" s="29">
        <v>0</v>
      </c>
      <c r="F46" s="29">
        <v>0</v>
      </c>
      <c r="G46" s="60">
        <v>0</v>
      </c>
      <c r="H46" s="29">
        <f>+'Sources Uses'!$J$19</f>
        <v>0</v>
      </c>
      <c r="I46" s="29">
        <f>+'Sources Uses'!$J$19</f>
        <v>0</v>
      </c>
      <c r="J46" s="29">
        <f>+'Sources Uses'!$J$19</f>
        <v>0</v>
      </c>
      <c r="K46" s="29">
        <f>+'Sources Uses'!$J$19</f>
        <v>0</v>
      </c>
      <c r="L46" s="29">
        <f>+'Sources Uses'!$J$19</f>
        <v>0</v>
      </c>
      <c r="M46" s="23"/>
    </row>
    <row r="47" spans="1:13" ht="12.75">
      <c r="A47" s="1" t="s">
        <v>211</v>
      </c>
      <c r="B47" s="82"/>
      <c r="C47" s="29">
        <v>0</v>
      </c>
      <c r="D47" s="29">
        <v>0</v>
      </c>
      <c r="E47" s="29">
        <v>0</v>
      </c>
      <c r="F47" s="29">
        <v>0</v>
      </c>
      <c r="G47" s="60">
        <v>0</v>
      </c>
      <c r="H47" s="29">
        <f>+'Sources Uses'!$J$20</f>
        <v>0.1</v>
      </c>
      <c r="I47" s="29">
        <f>+'Sources Uses'!$J$20</f>
        <v>0.1</v>
      </c>
      <c r="J47" s="29">
        <f>+'Sources Uses'!$J$20</f>
        <v>0.1</v>
      </c>
      <c r="K47" s="29">
        <f>+'Sources Uses'!$J$20</f>
        <v>0.1</v>
      </c>
      <c r="L47" s="29">
        <f>+'Sources Uses'!$J$20</f>
        <v>0.1</v>
      </c>
      <c r="M47" s="23"/>
    </row>
    <row r="48" spans="2:13" ht="12.75">
      <c r="B48" s="82"/>
      <c r="C48" s="23"/>
      <c r="D48" s="23"/>
      <c r="E48" s="23"/>
      <c r="F48" s="23"/>
      <c r="G48" s="59"/>
      <c r="H48" s="23"/>
      <c r="I48" s="23"/>
      <c r="J48" s="23"/>
      <c r="K48" s="23"/>
      <c r="L48" s="23"/>
      <c r="M48" s="23"/>
    </row>
    <row r="49" spans="1:13" ht="12.75">
      <c r="A49" s="1" t="s">
        <v>115</v>
      </c>
      <c r="B49" s="83"/>
      <c r="C49" s="89">
        <v>0</v>
      </c>
      <c r="D49" s="89">
        <v>0</v>
      </c>
      <c r="E49" s="89">
        <v>0</v>
      </c>
      <c r="F49" s="89">
        <v>0</v>
      </c>
      <c r="G49" s="90">
        <v>0</v>
      </c>
      <c r="H49" s="91">
        <v>20</v>
      </c>
      <c r="I49" s="91">
        <v>20</v>
      </c>
      <c r="J49" s="91">
        <v>20</v>
      </c>
      <c r="K49" s="91">
        <v>20</v>
      </c>
      <c r="L49" s="91">
        <v>40</v>
      </c>
      <c r="M49" s="23"/>
    </row>
    <row r="50" spans="1:13" ht="12.75">
      <c r="A50" s="1" t="s">
        <v>240</v>
      </c>
      <c r="B50" s="83"/>
      <c r="C50" s="89">
        <v>0</v>
      </c>
      <c r="D50" s="89">
        <v>0</v>
      </c>
      <c r="E50" s="89">
        <v>0</v>
      </c>
      <c r="F50" s="89">
        <v>0</v>
      </c>
      <c r="G50" s="90">
        <v>0</v>
      </c>
      <c r="H50" s="91">
        <v>0</v>
      </c>
      <c r="I50" s="91">
        <v>0</v>
      </c>
      <c r="J50" s="91">
        <v>0</v>
      </c>
      <c r="K50" s="91">
        <v>0</v>
      </c>
      <c r="L50" s="91">
        <v>0</v>
      </c>
      <c r="M50" s="23"/>
    </row>
    <row r="51" spans="1:13" ht="12.75">
      <c r="A51" s="1" t="s">
        <v>116</v>
      </c>
      <c r="B51" s="83"/>
      <c r="C51" s="89">
        <v>0</v>
      </c>
      <c r="D51" s="89">
        <v>0</v>
      </c>
      <c r="E51" s="89">
        <v>0</v>
      </c>
      <c r="F51" s="89">
        <v>0</v>
      </c>
      <c r="G51" s="90">
        <v>0</v>
      </c>
      <c r="H51" s="91">
        <v>0</v>
      </c>
      <c r="I51" s="91">
        <v>0</v>
      </c>
      <c r="J51" s="91">
        <v>0</v>
      </c>
      <c r="K51" s="91">
        <v>0</v>
      </c>
      <c r="L51" s="91">
        <v>0</v>
      </c>
      <c r="M51" s="23"/>
    </row>
    <row r="52" spans="1:13" ht="12.75">
      <c r="A52" s="15"/>
      <c r="B52" s="15"/>
      <c r="C52" s="72"/>
      <c r="D52" s="72"/>
      <c r="E52" s="72"/>
      <c r="F52" s="72"/>
      <c r="G52" s="73"/>
      <c r="H52" s="72"/>
      <c r="I52" s="72"/>
      <c r="J52" s="72"/>
      <c r="K52" s="72"/>
      <c r="L52" s="72"/>
      <c r="M52" s="23"/>
    </row>
    <row r="53" spans="3:13" ht="12.75">
      <c r="C53" s="23"/>
      <c r="D53" s="23"/>
      <c r="E53" s="23"/>
      <c r="F53" s="23"/>
      <c r="G53" s="74"/>
      <c r="H53" s="74"/>
      <c r="I53" s="23"/>
      <c r="J53" s="23"/>
      <c r="K53" s="23"/>
      <c r="L53" s="23"/>
      <c r="M53" s="23"/>
    </row>
    <row r="54" spans="7:8" ht="12.75">
      <c r="G54" s="16"/>
      <c r="H54" s="16"/>
    </row>
    <row r="55" spans="7:8" ht="12.75">
      <c r="G55" s="16"/>
      <c r="H55" s="16"/>
    </row>
    <row r="56" spans="7:8" ht="12.75">
      <c r="G56" s="16"/>
      <c r="H56" s="16"/>
    </row>
    <row r="57" spans="7:8" ht="12.75">
      <c r="G57" s="16"/>
      <c r="H57" s="16"/>
    </row>
    <row r="58" spans="7:8" ht="12.75">
      <c r="G58" s="16"/>
      <c r="H58" s="16"/>
    </row>
    <row r="59" spans="7:8" ht="12.75">
      <c r="G59" s="16"/>
      <c r="H59" s="16"/>
    </row>
    <row r="60" spans="7:8" ht="12.75">
      <c r="G60" s="16"/>
      <c r="H60" s="16"/>
    </row>
    <row r="61" spans="7:8" ht="12.75">
      <c r="G61" s="16"/>
      <c r="H61" s="16"/>
    </row>
    <row r="62" spans="7:8" ht="12.75">
      <c r="G62" s="16"/>
      <c r="H62" s="16"/>
    </row>
    <row r="63" spans="7:8" ht="12.75">
      <c r="G63" s="16"/>
      <c r="H63" s="16"/>
    </row>
    <row r="64" spans="7:8" ht="12.75">
      <c r="G64" s="16"/>
      <c r="H64" s="16"/>
    </row>
    <row r="65" spans="7:8" ht="12.75">
      <c r="G65" s="16"/>
      <c r="H65" s="16"/>
    </row>
    <row r="66" spans="7:8" ht="12.75">
      <c r="G66" s="16"/>
      <c r="H66" s="16"/>
    </row>
    <row r="67" spans="7:8" ht="12.75">
      <c r="G67" s="16"/>
      <c r="H67" s="16"/>
    </row>
    <row r="68" spans="7:8" ht="12.75">
      <c r="G68" s="16"/>
      <c r="H68" s="16"/>
    </row>
    <row r="69" spans="7:8" ht="12.75">
      <c r="G69" s="16"/>
      <c r="H69" s="16"/>
    </row>
    <row r="70" spans="7:8" ht="12.75">
      <c r="G70" s="16"/>
      <c r="H70" s="16"/>
    </row>
    <row r="71" spans="7:8" ht="12.75">
      <c r="G71" s="16"/>
      <c r="H71" s="16"/>
    </row>
    <row r="72" spans="7:8" ht="12.75">
      <c r="G72" s="16"/>
      <c r="H72" s="16"/>
    </row>
    <row r="73" spans="7:8" ht="12.75">
      <c r="G73" s="16"/>
      <c r="H73" s="16"/>
    </row>
    <row r="74" spans="7:8" ht="12.75">
      <c r="G74" s="16"/>
      <c r="H74" s="16"/>
    </row>
    <row r="75" spans="7:8" ht="12.75">
      <c r="G75" s="16"/>
      <c r="H75" s="16"/>
    </row>
    <row r="76" spans="7:8" ht="12.75">
      <c r="G76" s="16"/>
      <c r="H76" s="16"/>
    </row>
    <row r="77" spans="7:8" ht="12.75">
      <c r="G77" s="16"/>
      <c r="H77" s="16"/>
    </row>
    <row r="78" spans="7:8" ht="12.75">
      <c r="G78" s="16"/>
      <c r="H78" s="16"/>
    </row>
    <row r="79" spans="7:8" ht="12.75">
      <c r="G79" s="16"/>
      <c r="H79" s="16"/>
    </row>
    <row r="80" ht="12.75">
      <c r="G80" s="11"/>
    </row>
    <row r="81" ht="12.75">
      <c r="G81" s="11"/>
    </row>
    <row r="82" ht="12.75">
      <c r="G82" s="11"/>
    </row>
    <row r="83" ht="12.75">
      <c r="G83" s="11"/>
    </row>
    <row r="84" ht="12.75">
      <c r="G84" s="11"/>
    </row>
    <row r="85" ht="12.75">
      <c r="G85" s="11"/>
    </row>
    <row r="86" ht="12.75">
      <c r="G86" s="11"/>
    </row>
    <row r="87" ht="12.75">
      <c r="G87" s="11"/>
    </row>
    <row r="88" ht="12.75">
      <c r="G88" s="11"/>
    </row>
    <row r="89" ht="12.75">
      <c r="G89" s="11"/>
    </row>
    <row r="90" ht="12.75">
      <c r="G90" s="11"/>
    </row>
    <row r="91" ht="12.75">
      <c r="G91" s="11"/>
    </row>
    <row r="92" ht="12.75">
      <c r="G92" s="11"/>
    </row>
    <row r="93" ht="12.75">
      <c r="G93" s="11"/>
    </row>
    <row r="94" ht="12.75">
      <c r="G94" s="11"/>
    </row>
    <row r="95" ht="12.75">
      <c r="G95" s="11"/>
    </row>
    <row r="96" ht="12.75">
      <c r="G96" s="11"/>
    </row>
    <row r="97" ht="12.75">
      <c r="G97" s="11"/>
    </row>
    <row r="98" ht="12.75">
      <c r="G98" s="11"/>
    </row>
    <row r="99" ht="12.75">
      <c r="G99" s="11"/>
    </row>
    <row r="100" ht="12.75">
      <c r="G100" s="11"/>
    </row>
    <row r="101" ht="12.75">
      <c r="G101" s="11"/>
    </row>
    <row r="102" ht="12.75">
      <c r="G102" s="11"/>
    </row>
    <row r="103" ht="12.75">
      <c r="G103" s="11"/>
    </row>
    <row r="104" ht="12.75">
      <c r="G104" s="11"/>
    </row>
    <row r="105" ht="12.75">
      <c r="G105" s="11"/>
    </row>
    <row r="106" ht="12.75">
      <c r="G106" s="11"/>
    </row>
    <row r="107" ht="12.75">
      <c r="G107" s="11"/>
    </row>
    <row r="108" ht="12.75">
      <c r="G108" s="11"/>
    </row>
    <row r="109" ht="12.75">
      <c r="G109" s="11"/>
    </row>
  </sheetData>
  <sheetProtection/>
  <printOptions horizontalCentered="1"/>
  <pageMargins left="0.5" right="0.5" top="1" bottom="1" header="0.5" footer="0.5"/>
  <pageSetup fitToHeight="2" horizontalDpi="300" verticalDpi="300" orientation="portrait" scale="71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59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1.00390625" style="1" customWidth="1"/>
    <col min="2" max="2" width="2.421875" style="1" customWidth="1"/>
    <col min="3" max="6" width="9.421875" style="1" customWidth="1"/>
    <col min="7" max="7" width="9.421875" style="1" bestFit="1" customWidth="1"/>
    <col min="8" max="8" width="9.421875" style="1" customWidth="1"/>
    <col min="9" max="13" width="9.57421875" style="1" bestFit="1" customWidth="1"/>
    <col min="14" max="16384" width="9.140625" style="1" customWidth="1"/>
  </cols>
  <sheetData>
    <row r="1" spans="1:13" ht="15">
      <c r="A1" s="57" t="s">
        <v>104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3" spans="1:13" ht="12.75">
      <c r="A3" s="4"/>
      <c r="C3" s="2" t="s">
        <v>102</v>
      </c>
      <c r="D3" s="2"/>
      <c r="E3" s="2"/>
      <c r="F3" s="2"/>
      <c r="G3" s="56"/>
      <c r="H3" s="182"/>
      <c r="I3" s="2" t="s">
        <v>103</v>
      </c>
      <c r="J3" s="2"/>
      <c r="K3" s="2"/>
      <c r="L3" s="2"/>
      <c r="M3" s="2"/>
    </row>
    <row r="4" spans="1:13" ht="12.75">
      <c r="A4" s="4" t="s">
        <v>2</v>
      </c>
      <c r="C4" s="13" t="s">
        <v>1</v>
      </c>
      <c r="D4" s="13"/>
      <c r="E4" s="13"/>
      <c r="F4" s="13"/>
      <c r="G4" s="39"/>
      <c r="H4" s="183" t="s">
        <v>206</v>
      </c>
      <c r="I4" s="13" t="s">
        <v>1</v>
      </c>
      <c r="J4" s="13"/>
      <c r="K4" s="13"/>
      <c r="L4" s="13"/>
      <c r="M4" s="13"/>
    </row>
    <row r="5" spans="3:13" ht="12.75">
      <c r="C5" s="7">
        <v>2004</v>
      </c>
      <c r="D5" s="7">
        <f aca="true" t="shared" si="0" ref="D5:M5">C5+1</f>
        <v>2005</v>
      </c>
      <c r="E5" s="7">
        <f t="shared" si="0"/>
        <v>2006</v>
      </c>
      <c r="F5" s="7">
        <f t="shared" si="0"/>
        <v>2007</v>
      </c>
      <c r="G5" s="40">
        <f t="shared" si="0"/>
        <v>2008</v>
      </c>
      <c r="H5" s="184" t="s">
        <v>215</v>
      </c>
      <c r="I5" s="8">
        <f>G5+1</f>
        <v>2009</v>
      </c>
      <c r="J5" s="8">
        <f t="shared" si="0"/>
        <v>2010</v>
      </c>
      <c r="K5" s="8">
        <f t="shared" si="0"/>
        <v>2011</v>
      </c>
      <c r="L5" s="8">
        <f t="shared" si="0"/>
        <v>2012</v>
      </c>
      <c r="M5" s="8">
        <f t="shared" si="0"/>
        <v>2013</v>
      </c>
    </row>
    <row r="6" spans="1:13" ht="12.75">
      <c r="A6" s="21" t="s">
        <v>110</v>
      </c>
      <c r="C6" s="7"/>
      <c r="D6" s="7"/>
      <c r="E6" s="7"/>
      <c r="F6" s="7"/>
      <c r="G6" s="40"/>
      <c r="H6" s="191"/>
      <c r="I6" s="8"/>
      <c r="J6" s="8"/>
      <c r="K6" s="8"/>
      <c r="L6" s="8"/>
      <c r="M6" s="8"/>
    </row>
    <row r="7" spans="1:13" ht="12.75">
      <c r="A7" s="1" t="s">
        <v>0</v>
      </c>
      <c r="C7" s="19">
        <v>160</v>
      </c>
      <c r="D7" s="19">
        <v>170</v>
      </c>
      <c r="E7" s="19">
        <v>180</v>
      </c>
      <c r="F7" s="19">
        <v>190</v>
      </c>
      <c r="G7" s="41">
        <v>200</v>
      </c>
      <c r="H7" s="192"/>
      <c r="I7" s="19">
        <f>G7*(1+Assumptions!H8)</f>
        <v>210</v>
      </c>
      <c r="J7" s="19">
        <f>I7*(1+Assumptions!I8)</f>
        <v>220.5</v>
      </c>
      <c r="K7" s="19">
        <f>J7*(1+Assumptions!J8)</f>
        <v>231.525</v>
      </c>
      <c r="L7" s="19">
        <f>K7*(1+Assumptions!K8)</f>
        <v>243.10125000000002</v>
      </c>
      <c r="M7" s="19">
        <f>L7*(1+Assumptions!L8)</f>
        <v>255.25631250000004</v>
      </c>
    </row>
    <row r="8" spans="1:14" ht="12.75">
      <c r="A8" s="4" t="s">
        <v>3</v>
      </c>
      <c r="B8" s="4"/>
      <c r="C8" s="5" t="s">
        <v>4</v>
      </c>
      <c r="D8" s="5">
        <f aca="true" t="shared" si="1" ref="D8:M8">D7/C7-1</f>
        <v>0.0625</v>
      </c>
      <c r="E8" s="5">
        <f t="shared" si="1"/>
        <v>0.05882352941176472</v>
      </c>
      <c r="F8" s="5">
        <f t="shared" si="1"/>
        <v>0.05555555555555558</v>
      </c>
      <c r="G8" s="42">
        <f t="shared" si="1"/>
        <v>0.05263157894736836</v>
      </c>
      <c r="H8" s="193"/>
      <c r="I8" s="5">
        <f>I7/G7-1</f>
        <v>0.050000000000000044</v>
      </c>
      <c r="J8" s="5">
        <f t="shared" si="1"/>
        <v>0.050000000000000044</v>
      </c>
      <c r="K8" s="5">
        <f t="shared" si="1"/>
        <v>0.050000000000000044</v>
      </c>
      <c r="L8" s="5">
        <f t="shared" si="1"/>
        <v>0.050000000000000044</v>
      </c>
      <c r="M8" s="5">
        <f t="shared" si="1"/>
        <v>0.050000000000000044</v>
      </c>
      <c r="N8" s="4"/>
    </row>
    <row r="9" spans="3:13" ht="12.75">
      <c r="C9" s="19"/>
      <c r="D9" s="19"/>
      <c r="E9" s="19"/>
      <c r="F9" s="19"/>
      <c r="G9" s="41"/>
      <c r="H9" s="192"/>
      <c r="I9" s="19"/>
      <c r="J9" s="19"/>
      <c r="K9" s="19"/>
      <c r="L9" s="19"/>
      <c r="M9" s="19"/>
    </row>
    <row r="10" spans="1:13" ht="15">
      <c r="A10" s="1" t="s">
        <v>6</v>
      </c>
      <c r="C10" s="19">
        <f>+C7*0.42</f>
        <v>67.2</v>
      </c>
      <c r="D10" s="19">
        <f>+D7*0.415</f>
        <v>70.55</v>
      </c>
      <c r="E10" s="19">
        <f>+E7*0.41</f>
        <v>73.8</v>
      </c>
      <c r="F10" s="19">
        <f>+F7*0.41</f>
        <v>77.89999999999999</v>
      </c>
      <c r="G10" s="41">
        <f>+G7*0.4</f>
        <v>80</v>
      </c>
      <c r="H10" s="192"/>
      <c r="I10" s="19">
        <f>I7*Assumptions!H10</f>
        <v>84</v>
      </c>
      <c r="J10" s="19">
        <f>J7*Assumptions!I10</f>
        <v>88.2</v>
      </c>
      <c r="K10" s="19">
        <f>K7*Assumptions!J10</f>
        <v>92.61000000000001</v>
      </c>
      <c r="L10" s="19">
        <f>L7*Assumptions!K10</f>
        <v>97.24050000000001</v>
      </c>
      <c r="M10" s="19">
        <f>M7*Assumptions!L10</f>
        <v>102.10252500000001</v>
      </c>
    </row>
    <row r="11" spans="1:13" ht="12.75">
      <c r="A11" s="4" t="s">
        <v>8</v>
      </c>
      <c r="C11" s="5">
        <f>C10/C7</f>
        <v>0.42000000000000004</v>
      </c>
      <c r="D11" s="5">
        <f aca="true" t="shared" si="2" ref="D11:M11">D10/D7</f>
        <v>0.415</v>
      </c>
      <c r="E11" s="5">
        <f t="shared" si="2"/>
        <v>0.41</v>
      </c>
      <c r="F11" s="5">
        <f t="shared" si="2"/>
        <v>0.41</v>
      </c>
      <c r="G11" s="42">
        <f t="shared" si="2"/>
        <v>0.4</v>
      </c>
      <c r="H11" s="193"/>
      <c r="I11" s="5">
        <f t="shared" si="2"/>
        <v>0.4</v>
      </c>
      <c r="J11" s="5">
        <f t="shared" si="2"/>
        <v>0.4</v>
      </c>
      <c r="K11" s="5">
        <f t="shared" si="2"/>
        <v>0.4</v>
      </c>
      <c r="L11" s="5">
        <f t="shared" si="2"/>
        <v>0.4</v>
      </c>
      <c r="M11" s="5">
        <f t="shared" si="2"/>
        <v>0.4</v>
      </c>
    </row>
    <row r="12" spans="3:13" ht="12.75">
      <c r="C12" s="19"/>
      <c r="D12" s="19"/>
      <c r="E12" s="19"/>
      <c r="F12" s="19"/>
      <c r="G12" s="41"/>
      <c r="H12" s="192"/>
      <c r="I12" s="19"/>
      <c r="J12" s="19"/>
      <c r="K12" s="19"/>
      <c r="L12" s="19"/>
      <c r="M12" s="19"/>
    </row>
    <row r="13" spans="1:13" ht="12.75">
      <c r="A13" s="1" t="s">
        <v>11</v>
      </c>
      <c r="C13" s="19">
        <f aca="true" t="shared" si="3" ref="C13:M13">C7-C10</f>
        <v>92.8</v>
      </c>
      <c r="D13" s="19">
        <f t="shared" si="3"/>
        <v>99.45</v>
      </c>
      <c r="E13" s="19">
        <f t="shared" si="3"/>
        <v>106.2</v>
      </c>
      <c r="F13" s="19">
        <f t="shared" si="3"/>
        <v>112.10000000000001</v>
      </c>
      <c r="G13" s="41">
        <f t="shared" si="3"/>
        <v>120</v>
      </c>
      <c r="H13" s="192"/>
      <c r="I13" s="19">
        <f t="shared" si="3"/>
        <v>126</v>
      </c>
      <c r="J13" s="19">
        <f t="shared" si="3"/>
        <v>132.3</v>
      </c>
      <c r="K13" s="19">
        <f t="shared" si="3"/>
        <v>138.915</v>
      </c>
      <c r="L13" s="19">
        <f t="shared" si="3"/>
        <v>145.86075</v>
      </c>
      <c r="M13" s="19">
        <f t="shared" si="3"/>
        <v>153.15378750000002</v>
      </c>
    </row>
    <row r="14" spans="1:13" ht="12.75">
      <c r="A14" s="4" t="s">
        <v>12</v>
      </c>
      <c r="C14" s="5">
        <f aca="true" t="shared" si="4" ref="C14:M14">C13/C7</f>
        <v>0.58</v>
      </c>
      <c r="D14" s="5">
        <f t="shared" si="4"/>
        <v>0.585</v>
      </c>
      <c r="E14" s="5">
        <f t="shared" si="4"/>
        <v>0.59</v>
      </c>
      <c r="F14" s="5">
        <f t="shared" si="4"/>
        <v>0.5900000000000001</v>
      </c>
      <c r="G14" s="42">
        <f t="shared" si="4"/>
        <v>0.6</v>
      </c>
      <c r="H14" s="193"/>
      <c r="I14" s="5">
        <f t="shared" si="4"/>
        <v>0.6</v>
      </c>
      <c r="J14" s="5">
        <f t="shared" si="4"/>
        <v>0.6000000000000001</v>
      </c>
      <c r="K14" s="5">
        <f t="shared" si="4"/>
        <v>0.6</v>
      </c>
      <c r="L14" s="5">
        <f t="shared" si="4"/>
        <v>0.6</v>
      </c>
      <c r="M14" s="5">
        <f t="shared" si="4"/>
        <v>0.6</v>
      </c>
    </row>
    <row r="15" spans="3:13" ht="12.75">
      <c r="C15" s="19"/>
      <c r="D15" s="19"/>
      <c r="E15" s="19"/>
      <c r="F15" s="19"/>
      <c r="G15" s="41"/>
      <c r="H15" s="192"/>
      <c r="I15" s="19"/>
      <c r="J15" s="19"/>
      <c r="K15" s="19"/>
      <c r="L15" s="19"/>
      <c r="M15" s="19"/>
    </row>
    <row r="16" spans="1:13" ht="12.75">
      <c r="A16" s="1" t="s">
        <v>10</v>
      </c>
      <c r="C16" s="26">
        <v>5</v>
      </c>
      <c r="D16" s="26">
        <v>5</v>
      </c>
      <c r="E16" s="26">
        <v>5</v>
      </c>
      <c r="F16" s="26">
        <v>5</v>
      </c>
      <c r="G16" s="43">
        <v>5</v>
      </c>
      <c r="H16" s="192"/>
      <c r="I16" s="26">
        <f>I53*Assumptions!H12</f>
        <v>6.6739999999999995</v>
      </c>
      <c r="J16" s="26">
        <f>J53*Assumptions!I12</f>
        <v>6.8945</v>
      </c>
      <c r="K16" s="26">
        <f>K53*Assumptions!J12</f>
        <v>7.126024999999999</v>
      </c>
      <c r="L16" s="26">
        <f>L53*Assumptions!K12</f>
        <v>7.36912625</v>
      </c>
      <c r="M16" s="26">
        <f>M53*Assumptions!L12</f>
        <v>7.6243825625</v>
      </c>
    </row>
    <row r="17" spans="1:13" ht="12.75">
      <c r="A17" s="1" t="s">
        <v>225</v>
      </c>
      <c r="C17" s="26">
        <v>0</v>
      </c>
      <c r="D17" s="26">
        <v>0</v>
      </c>
      <c r="E17" s="26">
        <v>0</v>
      </c>
      <c r="F17" s="26">
        <v>0</v>
      </c>
      <c r="G17" s="43">
        <v>0</v>
      </c>
      <c r="H17" s="192"/>
      <c r="I17" s="26">
        <f>+Assumptions!H13</f>
        <v>1.6</v>
      </c>
      <c r="J17" s="26">
        <f>Assumptions!I13</f>
        <v>1.6</v>
      </c>
      <c r="K17" s="26">
        <f>Assumptions!J13</f>
        <v>1.6</v>
      </c>
      <c r="L17" s="26">
        <f>Assumptions!K13</f>
        <v>1.6</v>
      </c>
      <c r="M17" s="26">
        <f>Assumptions!L13</f>
        <v>1.6</v>
      </c>
    </row>
    <row r="18" spans="3:13" ht="12.75">
      <c r="C18" s="19"/>
      <c r="D18" s="19"/>
      <c r="E18" s="19"/>
      <c r="F18" s="19"/>
      <c r="G18" s="41"/>
      <c r="H18" s="192"/>
      <c r="I18" s="19"/>
      <c r="J18" s="19"/>
      <c r="K18" s="19"/>
      <c r="L18" s="19"/>
      <c r="M18" s="19"/>
    </row>
    <row r="19" spans="1:13" ht="12.75">
      <c r="A19" s="1" t="s">
        <v>13</v>
      </c>
      <c r="C19" s="19">
        <f>+C7*0.3</f>
        <v>48</v>
      </c>
      <c r="D19" s="19">
        <f>+D7*0.3</f>
        <v>51</v>
      </c>
      <c r="E19" s="19">
        <f>+E7*0.3</f>
        <v>54</v>
      </c>
      <c r="F19" s="19">
        <f>+F7*0.3</f>
        <v>57</v>
      </c>
      <c r="G19" s="19">
        <f>+G7*0.3</f>
        <v>60</v>
      </c>
      <c r="H19" s="192"/>
      <c r="I19" s="19">
        <f>I7*Assumptions!H16</f>
        <v>63</v>
      </c>
      <c r="J19" s="19">
        <f>J7*Assumptions!I16</f>
        <v>66.14999999999999</v>
      </c>
      <c r="K19" s="19">
        <f>K7*Assumptions!J16</f>
        <v>69.4575</v>
      </c>
      <c r="L19" s="19">
        <f>L7*Assumptions!K16</f>
        <v>72.930375</v>
      </c>
      <c r="M19" s="19">
        <f>M7*Assumptions!L16</f>
        <v>76.57689375000001</v>
      </c>
    </row>
    <row r="20" spans="1:13" ht="12.75">
      <c r="A20" s="4" t="s">
        <v>14</v>
      </c>
      <c r="C20" s="5">
        <f>C19/C7</f>
        <v>0.3</v>
      </c>
      <c r="D20" s="5">
        <f>D19/D7</f>
        <v>0.3</v>
      </c>
      <c r="E20" s="5">
        <f>E19/E7</f>
        <v>0.3</v>
      </c>
      <c r="F20" s="5">
        <f>F19/F7</f>
        <v>0.3</v>
      </c>
      <c r="G20" s="42">
        <f>G19/G7</f>
        <v>0.3</v>
      </c>
      <c r="H20" s="193"/>
      <c r="I20" s="5">
        <f>I19/I7</f>
        <v>0.3</v>
      </c>
      <c r="J20" s="5">
        <f>J19/J7</f>
        <v>0.3</v>
      </c>
      <c r="K20" s="5">
        <f>K19/K7</f>
        <v>0.3</v>
      </c>
      <c r="L20" s="5">
        <f>L19/L7</f>
        <v>0.3</v>
      </c>
      <c r="M20" s="5">
        <f>M19/M7</f>
        <v>0.3</v>
      </c>
    </row>
    <row r="21" spans="3:13" ht="12.75">
      <c r="C21" s="19"/>
      <c r="D21" s="19"/>
      <c r="E21" s="19"/>
      <c r="F21" s="19"/>
      <c r="G21" s="41"/>
      <c r="H21" s="192"/>
      <c r="I21" s="19"/>
      <c r="J21" s="19"/>
      <c r="K21" s="19"/>
      <c r="L21" s="19"/>
      <c r="M21" s="19"/>
    </row>
    <row r="22" spans="1:13" ht="12.75">
      <c r="A22" s="1" t="s">
        <v>16</v>
      </c>
      <c r="C22" s="19">
        <f>+C13-C16-C17-C19</f>
        <v>39.8</v>
      </c>
      <c r="D22" s="19">
        <f aca="true" t="shared" si="5" ref="D22:M22">+D13-D16-D17-D19</f>
        <v>43.45</v>
      </c>
      <c r="E22" s="19">
        <f t="shared" si="5"/>
        <v>47.2</v>
      </c>
      <c r="F22" s="19">
        <f t="shared" si="5"/>
        <v>50.10000000000001</v>
      </c>
      <c r="G22" s="19">
        <f t="shared" si="5"/>
        <v>55</v>
      </c>
      <c r="H22" s="192"/>
      <c r="I22" s="19">
        <f t="shared" si="5"/>
        <v>54.726</v>
      </c>
      <c r="J22" s="19">
        <f t="shared" si="5"/>
        <v>57.65550000000003</v>
      </c>
      <c r="K22" s="19">
        <f t="shared" si="5"/>
        <v>60.731475</v>
      </c>
      <c r="L22" s="19">
        <f t="shared" si="5"/>
        <v>63.96124875000001</v>
      </c>
      <c r="M22" s="19">
        <f t="shared" si="5"/>
        <v>67.35251118750003</v>
      </c>
    </row>
    <row r="23" spans="1:13" ht="12.75">
      <c r="A23" s="4" t="s">
        <v>17</v>
      </c>
      <c r="C23" s="5">
        <f>C22/C7</f>
        <v>0.24874999999999997</v>
      </c>
      <c r="D23" s="5">
        <f>D22/D7</f>
        <v>0.25558823529411767</v>
      </c>
      <c r="E23" s="5">
        <f>E22/E7</f>
        <v>0.26222222222222225</v>
      </c>
      <c r="F23" s="5">
        <f>F22/F7</f>
        <v>0.26368421052631585</v>
      </c>
      <c r="G23" s="42">
        <f>G22/G7</f>
        <v>0.275</v>
      </c>
      <c r="H23" s="193"/>
      <c r="I23" s="5">
        <f>I22/I7</f>
        <v>0.2606</v>
      </c>
      <c r="J23" s="5">
        <f>J22/J7</f>
        <v>0.26147619047619064</v>
      </c>
      <c r="K23" s="5">
        <f>K22/K7</f>
        <v>0.2623106575963719</v>
      </c>
      <c r="L23" s="5">
        <f>L22/L7</f>
        <v>0.26310538818702084</v>
      </c>
      <c r="M23" s="5">
        <f>M22/M7</f>
        <v>0.2638622744638294</v>
      </c>
    </row>
    <row r="24" spans="1:13" ht="12.75">
      <c r="A24" s="14"/>
      <c r="B24" s="15"/>
      <c r="C24" s="32"/>
      <c r="D24" s="32"/>
      <c r="E24" s="32"/>
      <c r="F24" s="32"/>
      <c r="G24" s="44"/>
      <c r="H24" s="194"/>
      <c r="I24" s="32"/>
      <c r="J24" s="32"/>
      <c r="K24" s="32"/>
      <c r="L24" s="32"/>
      <c r="M24" s="32"/>
    </row>
    <row r="25" spans="1:13" ht="12.75">
      <c r="A25" s="1" t="s">
        <v>29</v>
      </c>
      <c r="C25" s="19">
        <f>C22+C16</f>
        <v>44.8</v>
      </c>
      <c r="D25" s="19">
        <f>D22+D16</f>
        <v>48.45</v>
      </c>
      <c r="E25" s="19">
        <f>E22+E16</f>
        <v>52.2</v>
      </c>
      <c r="F25" s="19">
        <f>F22+F16</f>
        <v>55.10000000000001</v>
      </c>
      <c r="G25" s="19">
        <f>G22+G16</f>
        <v>60</v>
      </c>
      <c r="H25" s="192"/>
      <c r="I25" s="19">
        <f>I22+I16+I17</f>
        <v>63</v>
      </c>
      <c r="J25" s="19">
        <f>J22+J16+J17</f>
        <v>66.15000000000002</v>
      </c>
      <c r="K25" s="19">
        <f>K22+K16+K17</f>
        <v>69.4575</v>
      </c>
      <c r="L25" s="19">
        <f>L22+L16+L17</f>
        <v>72.930375</v>
      </c>
      <c r="M25" s="19">
        <f>M22+M16+M17</f>
        <v>76.57689375000002</v>
      </c>
    </row>
    <row r="26" spans="1:13" ht="12.75">
      <c r="A26" s="36" t="s">
        <v>30</v>
      </c>
      <c r="B26" s="16"/>
      <c r="C26" s="37">
        <f>C25/C7</f>
        <v>0.27999999999999997</v>
      </c>
      <c r="D26" s="37">
        <f>D25/D7</f>
        <v>0.28500000000000003</v>
      </c>
      <c r="E26" s="37">
        <f>E25/E7</f>
        <v>0.29000000000000004</v>
      </c>
      <c r="F26" s="37">
        <f>F25/F7</f>
        <v>0.29000000000000004</v>
      </c>
      <c r="G26" s="42">
        <f>G25/G7</f>
        <v>0.3</v>
      </c>
      <c r="H26" s="193"/>
      <c r="I26" s="37">
        <f>I25/I7</f>
        <v>0.3</v>
      </c>
      <c r="J26" s="37">
        <f>J25/J7</f>
        <v>0.3000000000000001</v>
      </c>
      <c r="K26" s="37">
        <f>K25/K7</f>
        <v>0.3</v>
      </c>
      <c r="L26" s="37">
        <f>L25/L7</f>
        <v>0.3</v>
      </c>
      <c r="M26" s="37">
        <f>M25/M7</f>
        <v>0.30000000000000004</v>
      </c>
    </row>
    <row r="27" spans="1:13" ht="12.75">
      <c r="A27" s="14" t="s">
        <v>101</v>
      </c>
      <c r="B27" s="15"/>
      <c r="C27" s="33" t="s">
        <v>4</v>
      </c>
      <c r="D27" s="33">
        <f aca="true" t="shared" si="6" ref="D27:M27">D25/C25-1</f>
        <v>0.08147321428571441</v>
      </c>
      <c r="E27" s="33">
        <f t="shared" si="6"/>
        <v>0.07739938080495357</v>
      </c>
      <c r="F27" s="33">
        <f t="shared" si="6"/>
        <v>0.05555555555555558</v>
      </c>
      <c r="G27" s="45">
        <f t="shared" si="6"/>
        <v>0.08892921960072586</v>
      </c>
      <c r="H27" s="195"/>
      <c r="I27" s="33">
        <f>I25/G25-1</f>
        <v>0.050000000000000044</v>
      </c>
      <c r="J27" s="33">
        <f t="shared" si="6"/>
        <v>0.050000000000000266</v>
      </c>
      <c r="K27" s="33">
        <f t="shared" si="6"/>
        <v>0.0499999999999996</v>
      </c>
      <c r="L27" s="33">
        <f t="shared" si="6"/>
        <v>0.050000000000000044</v>
      </c>
      <c r="M27" s="33">
        <f t="shared" si="6"/>
        <v>0.050000000000000266</v>
      </c>
    </row>
    <row r="28" spans="3:13" ht="12.75">
      <c r="C28" s="19"/>
      <c r="D28" s="19"/>
      <c r="E28" s="19"/>
      <c r="F28" s="19"/>
      <c r="G28" s="41"/>
      <c r="H28" s="192"/>
      <c r="I28" s="19"/>
      <c r="J28" s="19"/>
      <c r="K28" s="19"/>
      <c r="L28" s="19"/>
      <c r="M28" s="19"/>
    </row>
    <row r="29" spans="1:13" ht="12.75">
      <c r="A29" s="1" t="s">
        <v>18</v>
      </c>
      <c r="C29" s="19">
        <v>13</v>
      </c>
      <c r="D29" s="19">
        <f>D156</f>
        <v>18.016293279022403</v>
      </c>
      <c r="E29" s="19">
        <f>E156</f>
        <v>17.15680912224522</v>
      </c>
      <c r="F29" s="19">
        <f>F156</f>
        <v>16.401457929170707</v>
      </c>
      <c r="G29" s="19">
        <f>G156</f>
        <v>15.484607099690201</v>
      </c>
      <c r="H29" s="192"/>
      <c r="I29" s="19">
        <f>I156</f>
        <v>22.8</v>
      </c>
      <c r="J29" s="19">
        <f>J156</f>
        <v>21.900000000000002</v>
      </c>
      <c r="K29" s="19">
        <f>K156</f>
        <v>21.060000000000002</v>
      </c>
      <c r="L29" s="19">
        <f>L156</f>
        <v>20.286</v>
      </c>
      <c r="M29" s="19">
        <f>M156</f>
        <v>18.834600000000002</v>
      </c>
    </row>
    <row r="30" spans="1:13" ht="12.75">
      <c r="A30" s="1" t="s">
        <v>19</v>
      </c>
      <c r="C30" s="22">
        <v>0.2</v>
      </c>
      <c r="D30" s="22">
        <f>D159</f>
        <v>0.05</v>
      </c>
      <c r="E30" s="22">
        <f>E159</f>
        <v>0</v>
      </c>
      <c r="F30" s="22">
        <f>F159</f>
        <v>0</v>
      </c>
      <c r="G30" s="22">
        <f>G159</f>
        <v>0</v>
      </c>
      <c r="H30" s="196"/>
      <c r="I30" s="22">
        <f>I159</f>
        <v>0.038467656682607536</v>
      </c>
      <c r="J30" s="22">
        <f>J159</f>
        <v>0.14804569086506056</v>
      </c>
      <c r="K30" s="22">
        <f>K159</f>
        <v>0.33862747187752673</v>
      </c>
      <c r="L30" s="22">
        <f>L159</f>
        <v>0.6469624417251809</v>
      </c>
      <c r="M30" s="22">
        <f>M159</f>
        <v>0.7796388334056381</v>
      </c>
    </row>
    <row r="31" spans="1:13" ht="12.75">
      <c r="A31" s="1" t="s">
        <v>20</v>
      </c>
      <c r="C31" s="19">
        <f aca="true" t="shared" si="7" ref="C31:M31">C29-C30</f>
        <v>12.8</v>
      </c>
      <c r="D31" s="19">
        <f t="shared" si="7"/>
        <v>17.966293279022402</v>
      </c>
      <c r="E31" s="19">
        <f t="shared" si="7"/>
        <v>17.15680912224522</v>
      </c>
      <c r="F31" s="19">
        <f t="shared" si="7"/>
        <v>16.401457929170707</v>
      </c>
      <c r="G31" s="41">
        <f t="shared" si="7"/>
        <v>15.484607099690201</v>
      </c>
      <c r="H31" s="192"/>
      <c r="I31" s="19">
        <f t="shared" si="7"/>
        <v>22.761532343317395</v>
      </c>
      <c r="J31" s="19">
        <f t="shared" si="7"/>
        <v>21.75195430913494</v>
      </c>
      <c r="K31" s="19">
        <f t="shared" si="7"/>
        <v>20.721372528122476</v>
      </c>
      <c r="L31" s="19">
        <f t="shared" si="7"/>
        <v>19.639037558274822</v>
      </c>
      <c r="M31" s="19">
        <f t="shared" si="7"/>
        <v>18.054961166594364</v>
      </c>
    </row>
    <row r="32" spans="3:13" ht="12.75">
      <c r="C32" s="19"/>
      <c r="D32" s="19"/>
      <c r="E32" s="19"/>
      <c r="F32" s="19"/>
      <c r="G32" s="41"/>
      <c r="H32" s="192"/>
      <c r="I32" s="19"/>
      <c r="J32" s="19"/>
      <c r="K32" s="19"/>
      <c r="L32" s="19"/>
      <c r="M32" s="19"/>
    </row>
    <row r="33" spans="1:13" ht="12.75">
      <c r="A33" s="1" t="s">
        <v>21</v>
      </c>
      <c r="C33" s="19">
        <v>2</v>
      </c>
      <c r="D33" s="19">
        <v>0</v>
      </c>
      <c r="E33" s="19">
        <v>-2</v>
      </c>
      <c r="F33" s="19">
        <v>1</v>
      </c>
      <c r="G33" s="41">
        <v>0</v>
      </c>
      <c r="H33" s="192"/>
      <c r="I33" s="19">
        <f>Assumptions!H18</f>
        <v>0</v>
      </c>
      <c r="J33" s="19">
        <f>Assumptions!I18</f>
        <v>0</v>
      </c>
      <c r="K33" s="19">
        <f>Assumptions!J18</f>
        <v>0</v>
      </c>
      <c r="L33" s="19">
        <f>Assumptions!K18</f>
        <v>0</v>
      </c>
      <c r="M33" s="19">
        <f>Assumptions!L18</f>
        <v>0</v>
      </c>
    </row>
    <row r="34" spans="3:13" ht="12.75">
      <c r="C34" s="19"/>
      <c r="D34" s="19"/>
      <c r="E34" s="19"/>
      <c r="F34" s="19"/>
      <c r="G34" s="41"/>
      <c r="H34" s="192"/>
      <c r="I34" s="19"/>
      <c r="J34" s="19"/>
      <c r="K34" s="19"/>
      <c r="L34" s="19"/>
      <c r="M34" s="19"/>
    </row>
    <row r="35" spans="1:13" ht="12.75">
      <c r="A35" s="1" t="s">
        <v>22</v>
      </c>
      <c r="C35" s="19">
        <f aca="true" t="shared" si="8" ref="C35:M35">C22-C31+C33</f>
        <v>28.999999999999996</v>
      </c>
      <c r="D35" s="19">
        <f t="shared" si="8"/>
        <v>25.4837067209776</v>
      </c>
      <c r="E35" s="19">
        <f t="shared" si="8"/>
        <v>28.043190877754782</v>
      </c>
      <c r="F35" s="19">
        <f t="shared" si="8"/>
        <v>34.698542070829305</v>
      </c>
      <c r="G35" s="41">
        <f t="shared" si="8"/>
        <v>39.5153929003098</v>
      </c>
      <c r="H35" s="192"/>
      <c r="I35" s="19">
        <f t="shared" si="8"/>
        <v>31.964467656682604</v>
      </c>
      <c r="J35" s="19">
        <f t="shared" si="8"/>
        <v>35.90354569086509</v>
      </c>
      <c r="K35" s="19">
        <f t="shared" si="8"/>
        <v>40.01010247187753</v>
      </c>
      <c r="L35" s="19">
        <f t="shared" si="8"/>
        <v>44.32221119172519</v>
      </c>
      <c r="M35" s="19">
        <f t="shared" si="8"/>
        <v>49.29755002090566</v>
      </c>
    </row>
    <row r="36" spans="3:13" ht="12.75">
      <c r="C36" s="19"/>
      <c r="D36" s="19"/>
      <c r="E36" s="19"/>
      <c r="F36" s="19"/>
      <c r="G36" s="41"/>
      <c r="H36" s="192"/>
      <c r="I36" s="19"/>
      <c r="J36" s="19"/>
      <c r="K36" s="19"/>
      <c r="L36" s="19"/>
      <c r="M36" s="19"/>
    </row>
    <row r="37" spans="1:13" ht="12.75">
      <c r="A37" s="1" t="s">
        <v>23</v>
      </c>
      <c r="C37" s="19">
        <f>+C35*0.4</f>
        <v>11.6</v>
      </c>
      <c r="D37" s="19">
        <f>+D35*0.4</f>
        <v>10.193482688391041</v>
      </c>
      <c r="E37" s="19">
        <f>+E35*0.4</f>
        <v>11.217276351101914</v>
      </c>
      <c r="F37" s="19">
        <f>+F35*0.4</f>
        <v>13.879416828331722</v>
      </c>
      <c r="G37" s="41">
        <f>+G35*0.4</f>
        <v>15.80615716012392</v>
      </c>
      <c r="H37" s="192"/>
      <c r="I37" s="19">
        <f>I35*Assumptions!H20</f>
        <v>12.785787062673043</v>
      </c>
      <c r="J37" s="19">
        <f>J35*Assumptions!I20</f>
        <v>14.361418276346036</v>
      </c>
      <c r="K37" s="19">
        <f>K35*Assumptions!J20</f>
        <v>16.00404098875101</v>
      </c>
      <c r="L37" s="19">
        <f>L35*Assumptions!K20</f>
        <v>17.728884476690077</v>
      </c>
      <c r="M37" s="19">
        <f>M35*Assumptions!L20</f>
        <v>19.719020008362264</v>
      </c>
    </row>
    <row r="38" spans="1:13" ht="12.75">
      <c r="A38" s="4" t="s">
        <v>25</v>
      </c>
      <c r="C38" s="5">
        <f aca="true" t="shared" si="9" ref="C38:M38">C37/C35</f>
        <v>0.4</v>
      </c>
      <c r="D38" s="5">
        <f t="shared" si="9"/>
        <v>0.4</v>
      </c>
      <c r="E38" s="5">
        <f t="shared" si="9"/>
        <v>0.4</v>
      </c>
      <c r="F38" s="5">
        <f t="shared" si="9"/>
        <v>0.4</v>
      </c>
      <c r="G38" s="42">
        <f t="shared" si="9"/>
        <v>0.4</v>
      </c>
      <c r="H38" s="193"/>
      <c r="I38" s="5">
        <f t="shared" si="9"/>
        <v>0.4</v>
      </c>
      <c r="J38" s="5">
        <f t="shared" si="9"/>
        <v>0.4</v>
      </c>
      <c r="K38" s="5">
        <f t="shared" si="9"/>
        <v>0.39999999999999997</v>
      </c>
      <c r="L38" s="5">
        <f t="shared" si="9"/>
        <v>0.4</v>
      </c>
      <c r="M38" s="5">
        <f t="shared" si="9"/>
        <v>0.4</v>
      </c>
    </row>
    <row r="39" spans="3:13" ht="12.75">
      <c r="C39" s="19"/>
      <c r="D39" s="19"/>
      <c r="E39" s="19"/>
      <c r="F39" s="19"/>
      <c r="G39" s="41"/>
      <c r="H39" s="192"/>
      <c r="I39" s="19"/>
      <c r="J39" s="19"/>
      <c r="K39" s="19"/>
      <c r="L39" s="19"/>
      <c r="M39" s="19"/>
    </row>
    <row r="40" spans="1:13" ht="12.75">
      <c r="A40" s="1" t="s">
        <v>26</v>
      </c>
      <c r="C40" s="19">
        <f aca="true" t="shared" si="10" ref="C40:M40">C35-C37</f>
        <v>17.4</v>
      </c>
      <c r="D40" s="19">
        <f t="shared" si="10"/>
        <v>15.29022403258656</v>
      </c>
      <c r="E40" s="19">
        <f t="shared" si="10"/>
        <v>16.825914526652866</v>
      </c>
      <c r="F40" s="19">
        <f t="shared" si="10"/>
        <v>20.819125242497584</v>
      </c>
      <c r="G40" s="41">
        <f t="shared" si="10"/>
        <v>23.70923574018588</v>
      </c>
      <c r="H40" s="192"/>
      <c r="I40" s="19">
        <f t="shared" si="10"/>
        <v>19.178680594009563</v>
      </c>
      <c r="J40" s="19">
        <f t="shared" si="10"/>
        <v>21.54212741451905</v>
      </c>
      <c r="K40" s="19">
        <f t="shared" si="10"/>
        <v>24.00606148312652</v>
      </c>
      <c r="L40" s="19">
        <f t="shared" si="10"/>
        <v>26.59332671503511</v>
      </c>
      <c r="M40" s="19">
        <f t="shared" si="10"/>
        <v>29.578530012543396</v>
      </c>
    </row>
    <row r="41" spans="1:13" ht="12.75">
      <c r="A41" s="4" t="s">
        <v>27</v>
      </c>
      <c r="C41" s="5">
        <f>C40/C7</f>
        <v>0.10874999999999999</v>
      </c>
      <c r="D41" s="5">
        <f>D40/D7</f>
        <v>0.0899424943093327</v>
      </c>
      <c r="E41" s="5">
        <f>E40/E7</f>
        <v>0.09347730292584926</v>
      </c>
      <c r="F41" s="5">
        <f>F40/F7</f>
        <v>0.10957434338156623</v>
      </c>
      <c r="G41" s="42">
        <f>G40/G7</f>
        <v>0.11854617870092939</v>
      </c>
      <c r="H41" s="193"/>
      <c r="I41" s="5">
        <f>I40/I7</f>
        <v>0.09132705044766459</v>
      </c>
      <c r="J41" s="5">
        <f>J40/J7</f>
        <v>0.09769672296834037</v>
      </c>
      <c r="K41" s="5">
        <f>K40/K7</f>
        <v>0.10368669250891488</v>
      </c>
      <c r="L41" s="5">
        <f>L40/L7</f>
        <v>0.10939197850704227</v>
      </c>
      <c r="M41" s="5">
        <f>M40/M7</f>
        <v>0.11587776115250192</v>
      </c>
    </row>
    <row r="42" spans="1:13" ht="12.75">
      <c r="A42" s="14" t="s">
        <v>28</v>
      </c>
      <c r="B42" s="15"/>
      <c r="C42" s="33" t="s">
        <v>4</v>
      </c>
      <c r="D42" s="33">
        <f aca="true" t="shared" si="11" ref="D42:M42">D40/C40-1</f>
        <v>-0.1212514923800827</v>
      </c>
      <c r="E42" s="33">
        <f t="shared" si="11"/>
        <v>0.10043610157663085</v>
      </c>
      <c r="F42" s="33">
        <f t="shared" si="11"/>
        <v>0.23732503273562489</v>
      </c>
      <c r="G42" s="45">
        <f t="shared" si="11"/>
        <v>0.13881997749784314</v>
      </c>
      <c r="H42" s="195"/>
      <c r="I42" s="33">
        <f>I40/G40-1</f>
        <v>-0.1910881985325772</v>
      </c>
      <c r="J42" s="33">
        <f t="shared" si="11"/>
        <v>0.12323302476019693</v>
      </c>
      <c r="K42" s="33">
        <f t="shared" si="11"/>
        <v>0.11437747169515</v>
      </c>
      <c r="L42" s="33">
        <f t="shared" si="11"/>
        <v>0.10777549802274478</v>
      </c>
      <c r="M42" s="33">
        <f t="shared" si="11"/>
        <v>0.11225384960282292</v>
      </c>
    </row>
    <row r="43" spans="1:13" ht="12.75">
      <c r="A43" s="4" t="s">
        <v>7</v>
      </c>
      <c r="C43" s="6"/>
      <c r="D43" s="6"/>
      <c r="E43" s="6"/>
      <c r="F43" s="6"/>
      <c r="G43" s="47"/>
      <c r="H43" s="188"/>
      <c r="I43" s="6"/>
      <c r="J43" s="6"/>
      <c r="K43" s="6"/>
      <c r="L43" s="6"/>
      <c r="M43" s="6"/>
    </row>
    <row r="44" spans="1:13" ht="12.75">
      <c r="A44" s="4"/>
      <c r="C44" s="6"/>
      <c r="D44" s="6"/>
      <c r="E44" s="6"/>
      <c r="F44" s="6"/>
      <c r="G44" s="48"/>
      <c r="H44" s="188"/>
      <c r="I44" s="6"/>
      <c r="J44" s="6"/>
      <c r="K44" s="6"/>
      <c r="L44" s="6"/>
      <c r="M44" s="6"/>
    </row>
    <row r="45" spans="1:13" ht="12.75">
      <c r="A45" s="18" t="s">
        <v>31</v>
      </c>
      <c r="C45" s="6"/>
      <c r="D45" s="6"/>
      <c r="E45" s="6"/>
      <c r="F45" s="6"/>
      <c r="G45" s="48"/>
      <c r="H45" s="188"/>
      <c r="I45" s="6"/>
      <c r="J45" s="6"/>
      <c r="K45" s="6"/>
      <c r="L45" s="6"/>
      <c r="M45" s="6"/>
    </row>
    <row r="46" spans="1:13" ht="12.75">
      <c r="A46" s="18" t="s">
        <v>42</v>
      </c>
      <c r="C46" s="6"/>
      <c r="D46" s="6"/>
      <c r="E46" s="6"/>
      <c r="F46" s="6"/>
      <c r="G46" s="48"/>
      <c r="H46" s="188"/>
      <c r="I46" s="6"/>
      <c r="J46" s="6"/>
      <c r="K46" s="6"/>
      <c r="L46" s="6"/>
      <c r="M46" s="6"/>
    </row>
    <row r="47" spans="1:13" ht="12.75">
      <c r="A47" s="16" t="s">
        <v>32</v>
      </c>
      <c r="C47" s="19">
        <v>5</v>
      </c>
      <c r="D47" s="19">
        <f>D120</f>
        <v>0</v>
      </c>
      <c r="E47" s="19">
        <f>E120</f>
        <v>0</v>
      </c>
      <c r="F47" s="19">
        <f>F120</f>
        <v>0</v>
      </c>
      <c r="G47" s="41">
        <f>G120</f>
        <v>0</v>
      </c>
      <c r="H47" s="186">
        <f>+'PF Bal Sht'!F6</f>
        <v>0</v>
      </c>
      <c r="I47" s="19">
        <f>I120</f>
        <v>3.4193472606762256</v>
      </c>
      <c r="J47" s="19">
        <f>J120</f>
        <v>8.42430800852862</v>
      </c>
      <c r="K47" s="19">
        <f>K120</f>
        <v>16.203144491655145</v>
      </c>
      <c r="L47" s="19">
        <f>L120</f>
        <v>26.927684956690257</v>
      </c>
      <c r="M47" s="19">
        <f>M120</f>
        <v>21.050089406733633</v>
      </c>
    </row>
    <row r="48" spans="1:13" ht="12.75">
      <c r="A48" s="17" t="s">
        <v>33</v>
      </c>
      <c r="B48" s="34"/>
      <c r="C48" s="26">
        <v>12</v>
      </c>
      <c r="D48" s="26">
        <v>13</v>
      </c>
      <c r="E48" s="26">
        <v>14</v>
      </c>
      <c r="F48" s="26">
        <v>15</v>
      </c>
      <c r="G48" s="43">
        <v>16</v>
      </c>
      <c r="H48" s="186">
        <f>+'PF Bal Sht'!F7</f>
        <v>16</v>
      </c>
      <c r="I48" s="19">
        <f>Assumptions!H23/360*Model!I7</f>
        <v>17.5</v>
      </c>
      <c r="J48" s="19">
        <f>Assumptions!I23/360*Model!J7</f>
        <v>18.375</v>
      </c>
      <c r="K48" s="19">
        <f>Assumptions!J23/360*Model!K7</f>
        <v>19.29375</v>
      </c>
      <c r="L48" s="19">
        <f>Assumptions!K23/360*Model!L7</f>
        <v>20.2584375</v>
      </c>
      <c r="M48" s="19">
        <f>Assumptions!L23/360*Model!M7</f>
        <v>21.271359375000003</v>
      </c>
    </row>
    <row r="49" spans="1:13" ht="12.75">
      <c r="A49" s="17" t="s">
        <v>34</v>
      </c>
      <c r="B49" s="34"/>
      <c r="C49" s="26">
        <v>8</v>
      </c>
      <c r="D49" s="26">
        <v>8.5</v>
      </c>
      <c r="E49" s="26">
        <v>9</v>
      </c>
      <c r="F49" s="26">
        <v>9.5</v>
      </c>
      <c r="G49" s="43">
        <v>10</v>
      </c>
      <c r="H49" s="186">
        <f>+'PF Bal Sht'!F8</f>
        <v>10</v>
      </c>
      <c r="I49" s="19">
        <f>Assumptions!H24/360*Model!I10</f>
        <v>10.5</v>
      </c>
      <c r="J49" s="19">
        <f>Assumptions!I24/360*Model!J10</f>
        <v>11.025</v>
      </c>
      <c r="K49" s="19">
        <f>Assumptions!J24/360*Model!K10</f>
        <v>11.576250000000002</v>
      </c>
      <c r="L49" s="19">
        <f>Assumptions!K24/360*Model!L10</f>
        <v>12.155062500000001</v>
      </c>
      <c r="M49" s="19">
        <f>Assumptions!L24/360*Model!M10</f>
        <v>12.762815625000002</v>
      </c>
    </row>
    <row r="50" spans="1:13" ht="12.75">
      <c r="A50" s="16" t="s">
        <v>35</v>
      </c>
      <c r="C50" s="22">
        <v>1</v>
      </c>
      <c r="D50" s="22">
        <v>1</v>
      </c>
      <c r="E50" s="22">
        <v>1</v>
      </c>
      <c r="F50" s="22">
        <v>1</v>
      </c>
      <c r="G50" s="46">
        <v>1</v>
      </c>
      <c r="H50" s="187">
        <f>+'PF Bal Sht'!F9</f>
        <v>1</v>
      </c>
      <c r="I50" s="22">
        <f>Assumptions!H25</f>
        <v>1</v>
      </c>
      <c r="J50" s="22">
        <f>Assumptions!I25</f>
        <v>1</v>
      </c>
      <c r="K50" s="22">
        <f>Assumptions!J25</f>
        <v>1</v>
      </c>
      <c r="L50" s="22">
        <f>Assumptions!K25</f>
        <v>1</v>
      </c>
      <c r="M50" s="22">
        <f>Assumptions!L25</f>
        <v>1</v>
      </c>
    </row>
    <row r="51" spans="1:13" ht="12.75">
      <c r="A51" s="16" t="s">
        <v>43</v>
      </c>
      <c r="C51" s="19">
        <f aca="true" t="shared" si="12" ref="C51:M51">SUM(C47:C50)</f>
        <v>26</v>
      </c>
      <c r="D51" s="19">
        <f t="shared" si="12"/>
        <v>22.5</v>
      </c>
      <c r="E51" s="19">
        <f t="shared" si="12"/>
        <v>24</v>
      </c>
      <c r="F51" s="19">
        <f t="shared" si="12"/>
        <v>25.5</v>
      </c>
      <c r="G51" s="41">
        <f t="shared" si="12"/>
        <v>27</v>
      </c>
      <c r="H51" s="185">
        <f>SUM(H47:H50)</f>
        <v>27</v>
      </c>
      <c r="I51" s="19">
        <f t="shared" si="12"/>
        <v>32.419347260676226</v>
      </c>
      <c r="J51" s="19">
        <f t="shared" si="12"/>
        <v>38.82430800852862</v>
      </c>
      <c r="K51" s="19">
        <f t="shared" si="12"/>
        <v>48.07314449165514</v>
      </c>
      <c r="L51" s="19">
        <f t="shared" si="12"/>
        <v>60.341184956690256</v>
      </c>
      <c r="M51" s="19">
        <f t="shared" si="12"/>
        <v>56.08426440673364</v>
      </c>
    </row>
    <row r="52" spans="1:13" ht="12.75">
      <c r="A52" s="16"/>
      <c r="C52" s="19"/>
      <c r="D52" s="19"/>
      <c r="E52" s="19"/>
      <c r="F52" s="19"/>
      <c r="G52" s="41"/>
      <c r="H52" s="185"/>
      <c r="I52" s="19"/>
      <c r="J52" s="19"/>
      <c r="K52" s="19"/>
      <c r="L52" s="19"/>
      <c r="M52" s="19"/>
    </row>
    <row r="53" spans="1:14" ht="12.75">
      <c r="A53" s="16" t="s">
        <v>44</v>
      </c>
      <c r="C53" s="19">
        <v>277.2</v>
      </c>
      <c r="D53" s="19">
        <f>+C53-D105</f>
        <v>287.2</v>
      </c>
      <c r="E53" s="19">
        <f>+D53-E105</f>
        <v>298.2</v>
      </c>
      <c r="F53" s="19">
        <f>+E53-F105</f>
        <v>310.2</v>
      </c>
      <c r="G53" s="41">
        <f>+F53-G105</f>
        <v>323.2</v>
      </c>
      <c r="H53" s="185">
        <f>+'PF Bal Sht'!F12</f>
        <v>323.2</v>
      </c>
      <c r="I53" s="19">
        <f>H53-I105-I106</f>
        <v>333.7</v>
      </c>
      <c r="J53" s="19">
        <f>I53-J105-J106</f>
        <v>344.72499999999997</v>
      </c>
      <c r="K53" s="19">
        <f>J53-K105-K106</f>
        <v>356.30125</v>
      </c>
      <c r="L53" s="19">
        <f>K53-L105-L106</f>
        <v>368.45631249999997</v>
      </c>
      <c r="M53" s="19">
        <f>L53-M105-M106</f>
        <v>381.219128125</v>
      </c>
      <c r="N53" s="12"/>
    </row>
    <row r="54" spans="1:14" ht="12.75">
      <c r="A54" s="16" t="s">
        <v>45</v>
      </c>
      <c r="C54" s="22">
        <v>25</v>
      </c>
      <c r="D54" s="22">
        <f>+C54+D16</f>
        <v>30</v>
      </c>
      <c r="E54" s="22">
        <f>+D54+E16</f>
        <v>35</v>
      </c>
      <c r="F54" s="22">
        <f>+E54+F16</f>
        <v>40</v>
      </c>
      <c r="G54" s="46">
        <f>+F54+G16</f>
        <v>45</v>
      </c>
      <c r="H54" s="187">
        <f>+'PF Bal Sht'!F13</f>
        <v>45</v>
      </c>
      <c r="I54" s="22">
        <f>+H54+I16</f>
        <v>51.674</v>
      </c>
      <c r="J54" s="22">
        <f>+I54+J16</f>
        <v>58.5685</v>
      </c>
      <c r="K54" s="22">
        <f>+J54+K16</f>
        <v>65.694525</v>
      </c>
      <c r="L54" s="22">
        <f>+K54+L16</f>
        <v>73.06365124999999</v>
      </c>
      <c r="M54" s="22">
        <f>+L54+M16</f>
        <v>80.6880338125</v>
      </c>
      <c r="N54" s="12"/>
    </row>
    <row r="55" spans="1:14" ht="12.75">
      <c r="A55" s="16" t="s">
        <v>46</v>
      </c>
      <c r="C55" s="19">
        <f aca="true" t="shared" si="13" ref="C55:M55">C53-C54</f>
        <v>252.2</v>
      </c>
      <c r="D55" s="19">
        <f t="shared" si="13"/>
        <v>257.2</v>
      </c>
      <c r="E55" s="19">
        <f t="shared" si="13"/>
        <v>263.2</v>
      </c>
      <c r="F55" s="19">
        <f t="shared" si="13"/>
        <v>270.2</v>
      </c>
      <c r="G55" s="41">
        <f t="shared" si="13"/>
        <v>278.2</v>
      </c>
      <c r="H55" s="185">
        <f>H53-H54</f>
        <v>278.2</v>
      </c>
      <c r="I55" s="19">
        <f t="shared" si="13"/>
        <v>282.026</v>
      </c>
      <c r="J55" s="19">
        <f t="shared" si="13"/>
        <v>286.15649999999994</v>
      </c>
      <c r="K55" s="19">
        <f t="shared" si="13"/>
        <v>290.606725</v>
      </c>
      <c r="L55" s="19">
        <f t="shared" si="13"/>
        <v>295.39266124999995</v>
      </c>
      <c r="M55" s="19">
        <f t="shared" si="13"/>
        <v>300.5310943125</v>
      </c>
      <c r="N55" s="12"/>
    </row>
    <row r="56" spans="1:14" ht="12.75">
      <c r="A56" s="16"/>
      <c r="C56" s="19"/>
      <c r="D56" s="19"/>
      <c r="E56" s="19"/>
      <c r="F56" s="19"/>
      <c r="G56" s="41"/>
      <c r="H56" s="185"/>
      <c r="I56" s="19"/>
      <c r="J56" s="19"/>
      <c r="K56" s="19"/>
      <c r="L56" s="19"/>
      <c r="M56" s="19"/>
      <c r="N56" s="12"/>
    </row>
    <row r="57" spans="1:14" ht="12.75">
      <c r="A57" s="16" t="s">
        <v>235</v>
      </c>
      <c r="C57" s="19">
        <v>0</v>
      </c>
      <c r="D57" s="19">
        <v>0</v>
      </c>
      <c r="E57" s="19">
        <v>0</v>
      </c>
      <c r="F57" s="19">
        <v>0</v>
      </c>
      <c r="G57" s="41">
        <v>0</v>
      </c>
      <c r="H57" s="185">
        <f>+'PF Bal Sht'!F16</f>
        <v>8</v>
      </c>
      <c r="I57" s="19">
        <f>+H57-I17</f>
        <v>6.4</v>
      </c>
      <c r="J57" s="19">
        <f>+I57-J17</f>
        <v>4.800000000000001</v>
      </c>
      <c r="K57" s="19">
        <f>+J57-K17</f>
        <v>3.2000000000000006</v>
      </c>
      <c r="L57" s="19">
        <f>+K57-L17</f>
        <v>1.6000000000000005</v>
      </c>
      <c r="M57" s="19">
        <f>+L57-M17</f>
        <v>0</v>
      </c>
      <c r="N57" s="12"/>
    </row>
    <row r="58" spans="1:14" ht="12.75">
      <c r="A58" s="16" t="s">
        <v>105</v>
      </c>
      <c r="C58" s="22">
        <v>5</v>
      </c>
      <c r="D58" s="22">
        <v>5</v>
      </c>
      <c r="E58" s="22">
        <v>5</v>
      </c>
      <c r="F58" s="22">
        <v>5</v>
      </c>
      <c r="G58" s="46">
        <v>5</v>
      </c>
      <c r="H58" s="187">
        <f>+'PF Bal Sht'!F17</f>
        <v>70.20000000000002</v>
      </c>
      <c r="I58" s="22">
        <f>H58</f>
        <v>70.20000000000002</v>
      </c>
      <c r="J58" s="22">
        <f>I58</f>
        <v>70.20000000000002</v>
      </c>
      <c r="K58" s="22">
        <f>J58</f>
        <v>70.20000000000002</v>
      </c>
      <c r="L58" s="22">
        <f>K58</f>
        <v>70.20000000000002</v>
      </c>
      <c r="M58" s="22">
        <f>L58</f>
        <v>70.20000000000002</v>
      </c>
      <c r="N58" s="12"/>
    </row>
    <row r="59" spans="1:14" ht="12.75">
      <c r="A59" s="16" t="s">
        <v>36</v>
      </c>
      <c r="C59" s="19">
        <f aca="true" t="shared" si="14" ref="C59:M59">SUM(C55:C58,C51)</f>
        <v>283.2</v>
      </c>
      <c r="D59" s="19">
        <f t="shared" si="14"/>
        <v>284.7</v>
      </c>
      <c r="E59" s="19">
        <f t="shared" si="14"/>
        <v>292.2</v>
      </c>
      <c r="F59" s="19">
        <f t="shared" si="14"/>
        <v>300.7</v>
      </c>
      <c r="G59" s="41">
        <f t="shared" si="14"/>
        <v>310.2</v>
      </c>
      <c r="H59" s="185">
        <f t="shared" si="14"/>
        <v>383.4</v>
      </c>
      <c r="I59" s="19">
        <f t="shared" si="14"/>
        <v>391.0453472606762</v>
      </c>
      <c r="J59" s="19">
        <f t="shared" si="14"/>
        <v>399.9808080085286</v>
      </c>
      <c r="K59" s="19">
        <f t="shared" si="14"/>
        <v>412.07986949165513</v>
      </c>
      <c r="L59" s="19">
        <f t="shared" si="14"/>
        <v>427.53384620669027</v>
      </c>
      <c r="M59" s="19">
        <f t="shared" si="14"/>
        <v>426.8153587192336</v>
      </c>
      <c r="N59" s="12"/>
    </row>
    <row r="60" spans="1:14" ht="12.75">
      <c r="A60" s="16"/>
      <c r="C60" s="12"/>
      <c r="D60" s="12"/>
      <c r="E60" s="12"/>
      <c r="F60" s="12"/>
      <c r="G60" s="49"/>
      <c r="H60" s="189"/>
      <c r="I60" s="12"/>
      <c r="J60" s="12"/>
      <c r="K60" s="12"/>
      <c r="L60" s="12"/>
      <c r="M60" s="12"/>
      <c r="N60" s="12"/>
    </row>
    <row r="61" spans="1:14" ht="12.75">
      <c r="A61" s="18" t="s">
        <v>47</v>
      </c>
      <c r="C61" s="12"/>
      <c r="D61" s="12"/>
      <c r="E61" s="12"/>
      <c r="F61" s="12"/>
      <c r="G61" s="49"/>
      <c r="H61" s="189"/>
      <c r="I61" s="12"/>
      <c r="J61" s="12"/>
      <c r="K61" s="12"/>
      <c r="L61" s="12"/>
      <c r="M61" s="12"/>
      <c r="N61" s="12"/>
    </row>
    <row r="62" spans="1:14" ht="12.75">
      <c r="A62" s="16" t="s">
        <v>37</v>
      </c>
      <c r="C62" s="19">
        <v>8.5</v>
      </c>
      <c r="D62" s="19">
        <v>9</v>
      </c>
      <c r="E62" s="19">
        <v>9.5</v>
      </c>
      <c r="F62" s="19">
        <v>10</v>
      </c>
      <c r="G62" s="41">
        <v>11</v>
      </c>
      <c r="H62" s="185">
        <f>+'PF Bal Sht'!F21</f>
        <v>11</v>
      </c>
      <c r="I62" s="19">
        <f>I10*Assumptions!H30/360</f>
        <v>11.666666666666666</v>
      </c>
      <c r="J62" s="19">
        <f>J10*Assumptions!I30/360</f>
        <v>12.25</v>
      </c>
      <c r="K62" s="19">
        <f>K10*Assumptions!J30/360</f>
        <v>12.862500000000002</v>
      </c>
      <c r="L62" s="19">
        <f>L10*Assumptions!K30/360</f>
        <v>13.505625000000002</v>
      </c>
      <c r="M62" s="19">
        <f>M10*Assumptions!L30/360</f>
        <v>14.180906250000003</v>
      </c>
      <c r="N62" s="12"/>
    </row>
    <row r="63" spans="1:14" ht="12.75">
      <c r="A63" s="16" t="s">
        <v>38</v>
      </c>
      <c r="C63" s="19">
        <v>2</v>
      </c>
      <c r="D63" s="19">
        <v>2.1</v>
      </c>
      <c r="E63" s="19">
        <v>2.2</v>
      </c>
      <c r="F63" s="19">
        <v>2.3</v>
      </c>
      <c r="G63" s="41">
        <v>2.4</v>
      </c>
      <c r="H63" s="185">
        <f>+'PF Bal Sht'!F22</f>
        <v>2.4</v>
      </c>
      <c r="I63" s="19">
        <f>I10*Assumptions!H31</f>
        <v>2.52</v>
      </c>
      <c r="J63" s="19">
        <f>J10*Assumptions!I31</f>
        <v>2.646</v>
      </c>
      <c r="K63" s="19">
        <f>K10*Assumptions!J31</f>
        <v>2.7783</v>
      </c>
      <c r="L63" s="19">
        <f>L10*Assumptions!K31</f>
        <v>2.917215</v>
      </c>
      <c r="M63" s="19">
        <f>M10*Assumptions!L31</f>
        <v>3.0630757500000003</v>
      </c>
      <c r="N63" s="12"/>
    </row>
    <row r="64" spans="1:14" ht="12.75">
      <c r="A64" s="16" t="s">
        <v>39</v>
      </c>
      <c r="C64" s="22">
        <v>1</v>
      </c>
      <c r="D64" s="22">
        <v>0</v>
      </c>
      <c r="E64" s="22">
        <v>2</v>
      </c>
      <c r="F64" s="22">
        <v>1</v>
      </c>
      <c r="G64" s="46">
        <v>0</v>
      </c>
      <c r="H64" s="187">
        <f>+'PF Bal Sht'!F23</f>
        <v>0</v>
      </c>
      <c r="I64" s="22">
        <f>Assumptions!H32*I10</f>
        <v>1.68</v>
      </c>
      <c r="J64" s="22">
        <f>Assumptions!I32*J10</f>
        <v>1.764</v>
      </c>
      <c r="K64" s="22">
        <f>Assumptions!J32*K10</f>
        <v>1.8522000000000003</v>
      </c>
      <c r="L64" s="22">
        <f>Assumptions!K32*L10</f>
        <v>1.9448100000000004</v>
      </c>
      <c r="M64" s="22">
        <f>Assumptions!L32*M10</f>
        <v>2.0420505</v>
      </c>
      <c r="N64" s="12"/>
    </row>
    <row r="65" spans="1:14" ht="12.75">
      <c r="A65" s="16" t="s">
        <v>48</v>
      </c>
      <c r="C65" s="19">
        <f aca="true" t="shared" si="15" ref="C65:M65">SUM(C62:C64)</f>
        <v>11.5</v>
      </c>
      <c r="D65" s="19">
        <f t="shared" si="15"/>
        <v>11.1</v>
      </c>
      <c r="E65" s="19">
        <f t="shared" si="15"/>
        <v>13.7</v>
      </c>
      <c r="F65" s="19">
        <f t="shared" si="15"/>
        <v>13.3</v>
      </c>
      <c r="G65" s="41">
        <f t="shared" si="15"/>
        <v>13.4</v>
      </c>
      <c r="H65" s="185">
        <f t="shared" si="15"/>
        <v>13.4</v>
      </c>
      <c r="I65" s="19">
        <f t="shared" si="15"/>
        <v>15.866666666666665</v>
      </c>
      <c r="J65" s="19">
        <f t="shared" si="15"/>
        <v>16.66</v>
      </c>
      <c r="K65" s="19">
        <f t="shared" si="15"/>
        <v>17.493000000000002</v>
      </c>
      <c r="L65" s="19">
        <f t="shared" si="15"/>
        <v>18.36765</v>
      </c>
      <c r="M65" s="19">
        <f t="shared" si="15"/>
        <v>19.286032500000005</v>
      </c>
      <c r="N65" s="12"/>
    </row>
    <row r="66" spans="1:14" ht="12.75">
      <c r="A66" s="16"/>
      <c r="C66" s="12"/>
      <c r="D66" s="12"/>
      <c r="E66" s="12"/>
      <c r="F66" s="12"/>
      <c r="G66" s="49"/>
      <c r="H66" s="189"/>
      <c r="I66" s="12"/>
      <c r="J66" s="12"/>
      <c r="K66" s="12"/>
      <c r="L66" s="12"/>
      <c r="M66" s="12"/>
      <c r="N66" s="12"/>
    </row>
    <row r="67" spans="1:14" ht="12.75">
      <c r="A67" s="36" t="s">
        <v>207</v>
      </c>
      <c r="C67" s="12"/>
      <c r="D67" s="12"/>
      <c r="E67" s="12"/>
      <c r="F67" s="12"/>
      <c r="G67" s="49"/>
      <c r="H67" s="189"/>
      <c r="I67" s="12"/>
      <c r="J67" s="12"/>
      <c r="K67" s="12"/>
      <c r="L67" s="12"/>
      <c r="M67" s="12"/>
      <c r="N67" s="12"/>
    </row>
    <row r="68" spans="1:14" ht="12.75">
      <c r="A68" s="16" t="s">
        <v>53</v>
      </c>
      <c r="C68" s="19">
        <v>13.299999999999983</v>
      </c>
      <c r="D68" s="19">
        <f>+D127</f>
        <v>18.909775967413424</v>
      </c>
      <c r="E68" s="19">
        <f>+E127</f>
        <v>27.983861440760556</v>
      </c>
      <c r="F68" s="19">
        <f>+F127</f>
        <v>37.06473619826297</v>
      </c>
      <c r="G68" s="19">
        <f>+G127</f>
        <v>40.755500458077094</v>
      </c>
      <c r="H68" s="185">
        <f>+'PF Bal Sht'!F27</f>
        <v>0</v>
      </c>
      <c r="I68" s="19">
        <f aca="true" t="shared" si="16" ref="I68:M70">+H68</f>
        <v>0</v>
      </c>
      <c r="J68" s="19">
        <f t="shared" si="16"/>
        <v>0</v>
      </c>
      <c r="K68" s="19">
        <f t="shared" si="16"/>
        <v>0</v>
      </c>
      <c r="L68" s="19">
        <f t="shared" si="16"/>
        <v>0</v>
      </c>
      <c r="M68" s="19">
        <f t="shared" si="16"/>
        <v>0</v>
      </c>
      <c r="N68" s="12"/>
    </row>
    <row r="69" spans="1:14" ht="12.75">
      <c r="A69" s="16" t="s">
        <v>54</v>
      </c>
      <c r="C69" s="19">
        <v>180</v>
      </c>
      <c r="D69" s="19">
        <v>160</v>
      </c>
      <c r="E69" s="19">
        <v>140</v>
      </c>
      <c r="F69" s="19">
        <v>120</v>
      </c>
      <c r="G69" s="41">
        <v>100</v>
      </c>
      <c r="H69" s="185">
        <f>+'PF Bal Sht'!F28</f>
        <v>0</v>
      </c>
      <c r="I69" s="19">
        <f t="shared" si="16"/>
        <v>0</v>
      </c>
      <c r="J69" s="19">
        <f t="shared" si="16"/>
        <v>0</v>
      </c>
      <c r="K69" s="19">
        <f t="shared" si="16"/>
        <v>0</v>
      </c>
      <c r="L69" s="19">
        <f t="shared" si="16"/>
        <v>0</v>
      </c>
      <c r="M69" s="19">
        <f t="shared" si="16"/>
        <v>0</v>
      </c>
      <c r="N69" s="12"/>
    </row>
    <row r="70" spans="1:14" ht="12.75">
      <c r="A70" s="16" t="s">
        <v>49</v>
      </c>
      <c r="C70" s="19">
        <v>50</v>
      </c>
      <c r="D70" s="19">
        <v>50</v>
      </c>
      <c r="E70" s="19">
        <v>50</v>
      </c>
      <c r="F70" s="19">
        <v>50</v>
      </c>
      <c r="G70" s="19">
        <v>50</v>
      </c>
      <c r="H70" s="185">
        <f>+'PF Bal Sht'!F29</f>
        <v>0</v>
      </c>
      <c r="I70" s="19">
        <f t="shared" si="16"/>
        <v>0</v>
      </c>
      <c r="J70" s="19">
        <f t="shared" si="16"/>
        <v>0</v>
      </c>
      <c r="K70" s="19">
        <f t="shared" si="16"/>
        <v>0</v>
      </c>
      <c r="L70" s="19">
        <f t="shared" si="16"/>
        <v>0</v>
      </c>
      <c r="M70" s="19">
        <f t="shared" si="16"/>
        <v>0</v>
      </c>
      <c r="N70" s="12"/>
    </row>
    <row r="71" spans="1:14" ht="12.75">
      <c r="A71" s="16"/>
      <c r="C71" s="19"/>
      <c r="D71" s="19"/>
      <c r="E71" s="19"/>
      <c r="F71" s="19"/>
      <c r="G71" s="41"/>
      <c r="H71" s="185"/>
      <c r="I71" s="19"/>
      <c r="J71" s="19"/>
      <c r="K71" s="19"/>
      <c r="L71" s="19"/>
      <c r="M71" s="19"/>
      <c r="N71" s="12"/>
    </row>
    <row r="72" spans="1:14" ht="12.75">
      <c r="A72" s="36" t="s">
        <v>202</v>
      </c>
      <c r="C72" s="19"/>
      <c r="D72" s="19"/>
      <c r="E72" s="19"/>
      <c r="F72" s="19"/>
      <c r="G72" s="41"/>
      <c r="H72" s="185"/>
      <c r="I72" s="19"/>
      <c r="J72" s="19"/>
      <c r="K72" s="19"/>
      <c r="L72" s="19"/>
      <c r="M72" s="19"/>
      <c r="N72" s="12"/>
    </row>
    <row r="73" spans="1:14" ht="12.75">
      <c r="A73" s="16" t="s">
        <v>53</v>
      </c>
      <c r="C73" s="19">
        <v>0</v>
      </c>
      <c r="D73" s="19">
        <v>0</v>
      </c>
      <c r="E73" s="19">
        <v>0</v>
      </c>
      <c r="F73" s="19">
        <v>0</v>
      </c>
      <c r="G73" s="41">
        <v>0</v>
      </c>
      <c r="H73" s="185">
        <f>+'PF Bal Sht'!F32</f>
        <v>0</v>
      </c>
      <c r="I73" s="19">
        <f>I127</f>
        <v>0</v>
      </c>
      <c r="J73" s="19">
        <f>J127</f>
        <v>0</v>
      </c>
      <c r="K73" s="19">
        <f>K127</f>
        <v>0</v>
      </c>
      <c r="L73" s="19">
        <f>L127</f>
        <v>0</v>
      </c>
      <c r="M73" s="19">
        <f>M127</f>
        <v>0</v>
      </c>
      <c r="N73" s="12"/>
    </row>
    <row r="74" spans="1:14" ht="12.75">
      <c r="A74" s="16" t="s">
        <v>54</v>
      </c>
      <c r="C74" s="19">
        <v>0</v>
      </c>
      <c r="D74" s="19">
        <v>0</v>
      </c>
      <c r="E74" s="19">
        <v>0</v>
      </c>
      <c r="F74" s="19">
        <v>0</v>
      </c>
      <c r="G74" s="41">
        <v>0</v>
      </c>
      <c r="H74" s="185">
        <f>+'PF Bal Sht'!F33</f>
        <v>120</v>
      </c>
      <c r="I74" s="19">
        <f>I134</f>
        <v>100</v>
      </c>
      <c r="J74" s="19">
        <f>J134</f>
        <v>80</v>
      </c>
      <c r="K74" s="19">
        <f>K134</f>
        <v>60</v>
      </c>
      <c r="L74" s="19">
        <f>L134</f>
        <v>40</v>
      </c>
      <c r="M74" s="19">
        <f>M134</f>
        <v>0</v>
      </c>
      <c r="N74" s="12"/>
    </row>
    <row r="75" spans="1:14" ht="12.75">
      <c r="A75" s="16" t="s">
        <v>222</v>
      </c>
      <c r="C75" s="19">
        <v>0</v>
      </c>
      <c r="D75" s="19">
        <v>0</v>
      </c>
      <c r="E75" s="19">
        <v>0</v>
      </c>
      <c r="F75" s="19">
        <v>0</v>
      </c>
      <c r="G75" s="41">
        <v>0</v>
      </c>
      <c r="H75" s="185">
        <f>+'PF Bal Sht'!F34</f>
        <v>90</v>
      </c>
      <c r="I75" s="19">
        <f>I141</f>
        <v>90</v>
      </c>
      <c r="J75" s="19">
        <f>J141</f>
        <v>90</v>
      </c>
      <c r="K75" s="19">
        <f>K141</f>
        <v>90</v>
      </c>
      <c r="L75" s="19">
        <f>L141</f>
        <v>90</v>
      </c>
      <c r="M75" s="19">
        <f>M141</f>
        <v>90</v>
      </c>
      <c r="N75" s="12"/>
    </row>
    <row r="76" spans="1:14" ht="12.75">
      <c r="A76" s="16" t="s">
        <v>49</v>
      </c>
      <c r="C76" s="19">
        <v>0</v>
      </c>
      <c r="D76" s="19">
        <v>0</v>
      </c>
      <c r="E76" s="19">
        <v>0</v>
      </c>
      <c r="F76" s="19">
        <v>0</v>
      </c>
      <c r="G76" s="41">
        <v>0</v>
      </c>
      <c r="H76" s="185">
        <f>+'PF Bal Sht'!F35</f>
        <v>60</v>
      </c>
      <c r="I76" s="19">
        <f>I150</f>
        <v>66</v>
      </c>
      <c r="J76" s="19">
        <f>J150</f>
        <v>72.6</v>
      </c>
      <c r="K76" s="19">
        <f>K150</f>
        <v>79.86</v>
      </c>
      <c r="L76" s="19">
        <f>L150</f>
        <v>87.846</v>
      </c>
      <c r="M76" s="19">
        <f>M150</f>
        <v>96.6306</v>
      </c>
      <c r="N76" s="12"/>
    </row>
    <row r="77" spans="1:14" ht="12.75">
      <c r="A77" s="16"/>
      <c r="C77" s="19"/>
      <c r="D77" s="19"/>
      <c r="E77" s="19"/>
      <c r="F77" s="19"/>
      <c r="G77" s="41"/>
      <c r="H77" s="185"/>
      <c r="I77" s="19"/>
      <c r="J77" s="19"/>
      <c r="K77" s="19"/>
      <c r="L77" s="19"/>
      <c r="M77" s="19"/>
      <c r="N77" s="12"/>
    </row>
    <row r="78" spans="1:14" ht="12.75">
      <c r="A78" s="16" t="s">
        <v>40</v>
      </c>
      <c r="C78" s="22">
        <v>1</v>
      </c>
      <c r="D78" s="22">
        <v>2</v>
      </c>
      <c r="E78" s="22">
        <v>1</v>
      </c>
      <c r="F78" s="22">
        <v>0</v>
      </c>
      <c r="G78" s="46">
        <v>2</v>
      </c>
      <c r="H78" s="187">
        <f>+'PF Bal Sht'!F37</f>
        <v>2</v>
      </c>
      <c r="I78" s="22">
        <f>Assumptions!H33</f>
        <v>2</v>
      </c>
      <c r="J78" s="22">
        <f>Assumptions!I33</f>
        <v>2</v>
      </c>
      <c r="K78" s="22">
        <f>Assumptions!J33</f>
        <v>2</v>
      </c>
      <c r="L78" s="22">
        <f>Assumptions!K33</f>
        <v>2</v>
      </c>
      <c r="M78" s="22">
        <f>Assumptions!L33</f>
        <v>2</v>
      </c>
      <c r="N78" s="12"/>
    </row>
    <row r="79" spans="1:14" ht="12.75">
      <c r="A79" s="16" t="s">
        <v>55</v>
      </c>
      <c r="C79" s="19">
        <f aca="true" t="shared" si="17" ref="C79:M79">SUM(C65:C78)</f>
        <v>255.79999999999998</v>
      </c>
      <c r="D79" s="19">
        <f t="shared" si="17"/>
        <v>242.00977596741342</v>
      </c>
      <c r="E79" s="19">
        <f t="shared" si="17"/>
        <v>232.68386144076055</v>
      </c>
      <c r="F79" s="19">
        <f t="shared" si="17"/>
        <v>220.36473619826296</v>
      </c>
      <c r="G79" s="41">
        <f t="shared" si="17"/>
        <v>206.15550045807709</v>
      </c>
      <c r="H79" s="185">
        <f t="shared" si="17"/>
        <v>285.4</v>
      </c>
      <c r="I79" s="19">
        <f t="shared" si="17"/>
        <v>273.8666666666667</v>
      </c>
      <c r="J79" s="19">
        <f t="shared" si="17"/>
        <v>261.26</v>
      </c>
      <c r="K79" s="19">
        <f t="shared" si="17"/>
        <v>249.353</v>
      </c>
      <c r="L79" s="19">
        <f t="shared" si="17"/>
        <v>238.21365</v>
      </c>
      <c r="M79" s="19">
        <f t="shared" si="17"/>
        <v>207.9166325</v>
      </c>
      <c r="N79" s="12"/>
    </row>
    <row r="80" spans="1:14" ht="12.75">
      <c r="A80" s="16"/>
      <c r="C80" s="19"/>
      <c r="D80" s="19"/>
      <c r="E80" s="19"/>
      <c r="F80" s="19"/>
      <c r="G80" s="41"/>
      <c r="H80" s="185"/>
      <c r="I80" s="19"/>
      <c r="J80" s="19"/>
      <c r="K80" s="19"/>
      <c r="L80" s="19"/>
      <c r="M80" s="19"/>
      <c r="N80" s="12"/>
    </row>
    <row r="81" spans="1:14" ht="12.75">
      <c r="A81" s="35" t="s">
        <v>50</v>
      </c>
      <c r="C81" s="12"/>
      <c r="D81" s="12"/>
      <c r="E81" s="12"/>
      <c r="F81" s="12"/>
      <c r="G81" s="49"/>
      <c r="H81" s="189"/>
      <c r="I81" s="12"/>
      <c r="J81" s="12"/>
      <c r="K81" s="12"/>
      <c r="L81" s="12"/>
      <c r="M81" s="12"/>
      <c r="N81" s="12"/>
    </row>
    <row r="82" spans="1:14" ht="12.75">
      <c r="A82" s="17" t="s">
        <v>212</v>
      </c>
      <c r="C82" s="19">
        <f>+C40</f>
        <v>17.4</v>
      </c>
      <c r="D82" s="19">
        <f>+C82+D40</f>
        <v>32.690224032586556</v>
      </c>
      <c r="E82" s="19">
        <f>+D82+E40</f>
        <v>49.51613855923942</v>
      </c>
      <c r="F82" s="19">
        <f>+E82+F40</f>
        <v>70.335263801737</v>
      </c>
      <c r="G82" s="41">
        <f>+F82+G40</f>
        <v>94.04449954192287</v>
      </c>
      <c r="H82" s="185">
        <f>+'PF Bal Sht'!F41</f>
        <v>-6</v>
      </c>
      <c r="I82" s="19">
        <f>H82+I40</f>
        <v>13.178680594009563</v>
      </c>
      <c r="J82" s="19">
        <f>I82+J40</f>
        <v>34.720808008528614</v>
      </c>
      <c r="K82" s="19">
        <f>J82+K40</f>
        <v>58.72686949165514</v>
      </c>
      <c r="L82" s="19">
        <f>K82+L40</f>
        <v>85.32019620669024</v>
      </c>
      <c r="M82" s="19">
        <f>L82+M40</f>
        <v>114.89872621923364</v>
      </c>
      <c r="N82" s="12"/>
    </row>
    <row r="83" spans="1:14" ht="12.75">
      <c r="A83" s="17" t="s">
        <v>217</v>
      </c>
      <c r="C83" s="22">
        <v>10</v>
      </c>
      <c r="D83" s="22">
        <v>10</v>
      </c>
      <c r="E83" s="22">
        <v>10</v>
      </c>
      <c r="F83" s="22">
        <v>10</v>
      </c>
      <c r="G83" s="22">
        <v>10</v>
      </c>
      <c r="H83" s="187">
        <f>+'PF Bal Sht'!F42</f>
        <v>104</v>
      </c>
      <c r="I83" s="22">
        <f>H83</f>
        <v>104</v>
      </c>
      <c r="J83" s="22">
        <f>I83</f>
        <v>104</v>
      </c>
      <c r="K83" s="22">
        <f>J83</f>
        <v>104</v>
      </c>
      <c r="L83" s="22">
        <f>K83</f>
        <v>104</v>
      </c>
      <c r="M83" s="22">
        <f>L83</f>
        <v>104</v>
      </c>
      <c r="N83" s="12"/>
    </row>
    <row r="84" spans="1:14" ht="12.75">
      <c r="A84" s="17" t="s">
        <v>100</v>
      </c>
      <c r="C84" s="19">
        <f>C83+C82</f>
        <v>27.4</v>
      </c>
      <c r="D84" s="19">
        <f>D83+D82</f>
        <v>42.690224032586556</v>
      </c>
      <c r="E84" s="19">
        <f>E83+E82</f>
        <v>59.51613855923942</v>
      </c>
      <c r="F84" s="19">
        <f>F83+F82</f>
        <v>80.335263801737</v>
      </c>
      <c r="G84" s="41">
        <f>G83+G82</f>
        <v>104.04449954192287</v>
      </c>
      <c r="H84" s="41">
        <f aca="true" t="shared" si="18" ref="H84:M84">SUM(H82:H83)</f>
        <v>98</v>
      </c>
      <c r="I84" s="19">
        <f t="shared" si="18"/>
        <v>117.17868059400956</v>
      </c>
      <c r="J84" s="19">
        <f t="shared" si="18"/>
        <v>138.72080800852862</v>
      </c>
      <c r="K84" s="19">
        <f t="shared" si="18"/>
        <v>162.72686949165512</v>
      </c>
      <c r="L84" s="19">
        <f t="shared" si="18"/>
        <v>189.32019620669024</v>
      </c>
      <c r="M84" s="19">
        <f t="shared" si="18"/>
        <v>218.89872621923365</v>
      </c>
      <c r="N84" s="12"/>
    </row>
    <row r="85" spans="1:14" ht="12.75">
      <c r="A85" s="17"/>
      <c r="C85" s="19"/>
      <c r="D85" s="19"/>
      <c r="E85" s="19"/>
      <c r="F85" s="19"/>
      <c r="G85" s="41"/>
      <c r="H85" s="185"/>
      <c r="I85" s="19"/>
      <c r="J85" s="19"/>
      <c r="K85" s="19"/>
      <c r="L85" s="19"/>
      <c r="M85" s="19"/>
      <c r="N85" s="12"/>
    </row>
    <row r="86" spans="1:14" ht="12.75">
      <c r="A86" s="17" t="s">
        <v>41</v>
      </c>
      <c r="C86" s="19">
        <f aca="true" t="shared" si="19" ref="C86:M86">C84+C79</f>
        <v>283.2</v>
      </c>
      <c r="D86" s="19">
        <f t="shared" si="19"/>
        <v>284.7</v>
      </c>
      <c r="E86" s="19">
        <f t="shared" si="19"/>
        <v>292.2</v>
      </c>
      <c r="F86" s="19">
        <f t="shared" si="19"/>
        <v>300.69999999999993</v>
      </c>
      <c r="G86" s="41">
        <f t="shared" si="19"/>
        <v>310.19999999999993</v>
      </c>
      <c r="H86" s="41">
        <f>H84+H79</f>
        <v>383.4</v>
      </c>
      <c r="I86" s="19">
        <f t="shared" si="19"/>
        <v>391.04534726067624</v>
      </c>
      <c r="J86" s="19">
        <f t="shared" si="19"/>
        <v>399.9808080085286</v>
      </c>
      <c r="K86" s="19">
        <f t="shared" si="19"/>
        <v>412.07986949165513</v>
      </c>
      <c r="L86" s="19">
        <f t="shared" si="19"/>
        <v>427.5338462066902</v>
      </c>
      <c r="M86" s="19">
        <f t="shared" si="19"/>
        <v>426.81535871923364</v>
      </c>
      <c r="N86" s="12"/>
    </row>
    <row r="87" spans="1:14" ht="12.75">
      <c r="A87" s="14" t="s">
        <v>99</v>
      </c>
      <c r="B87" s="14"/>
      <c r="C87" s="75">
        <f>+C59-C86</f>
        <v>0</v>
      </c>
      <c r="D87" s="75">
        <f aca="true" t="shared" si="20" ref="D87:M87">+D59-D86</f>
        <v>0</v>
      </c>
      <c r="E87" s="75">
        <f t="shared" si="20"/>
        <v>0</v>
      </c>
      <c r="F87" s="75">
        <f t="shared" si="20"/>
        <v>0</v>
      </c>
      <c r="G87" s="76">
        <f t="shared" si="20"/>
        <v>0</v>
      </c>
      <c r="H87" s="76">
        <f t="shared" si="20"/>
        <v>0</v>
      </c>
      <c r="I87" s="75">
        <f t="shared" si="20"/>
        <v>0</v>
      </c>
      <c r="J87" s="75">
        <f t="shared" si="20"/>
        <v>0</v>
      </c>
      <c r="K87" s="75">
        <f t="shared" si="20"/>
        <v>0</v>
      </c>
      <c r="L87" s="75">
        <f t="shared" si="20"/>
        <v>0</v>
      </c>
      <c r="M87" s="75">
        <f t="shared" si="20"/>
        <v>0</v>
      </c>
      <c r="N87" s="12"/>
    </row>
    <row r="88" spans="1:14" ht="12.75">
      <c r="A88" s="4"/>
      <c r="B88" s="4"/>
      <c r="C88" s="38"/>
      <c r="D88" s="38"/>
      <c r="E88" s="38"/>
      <c r="F88" s="38"/>
      <c r="G88" s="50"/>
      <c r="H88" s="190"/>
      <c r="I88" s="38"/>
      <c r="J88" s="38"/>
      <c r="K88" s="38"/>
      <c r="L88" s="38"/>
      <c r="M88" s="38"/>
      <c r="N88" s="12"/>
    </row>
    <row r="89" spans="1:14" ht="12.75">
      <c r="A89" s="21" t="s">
        <v>56</v>
      </c>
      <c r="C89" s="19"/>
      <c r="D89" s="19"/>
      <c r="E89" s="19"/>
      <c r="F89" s="19"/>
      <c r="G89" s="41"/>
      <c r="H89" s="192"/>
      <c r="I89" s="19"/>
      <c r="J89" s="19"/>
      <c r="K89" s="19"/>
      <c r="L89" s="19"/>
      <c r="M89" s="19"/>
      <c r="N89" s="12"/>
    </row>
    <row r="90" spans="1:14" ht="12.75">
      <c r="A90" s="1" t="s">
        <v>26</v>
      </c>
      <c r="C90" s="38" t="s">
        <v>4</v>
      </c>
      <c r="D90" s="19">
        <f aca="true" t="shared" si="21" ref="D90:M90">D40</f>
        <v>15.29022403258656</v>
      </c>
      <c r="E90" s="19">
        <f t="shared" si="21"/>
        <v>16.825914526652866</v>
      </c>
      <c r="F90" s="19">
        <f t="shared" si="21"/>
        <v>20.819125242497584</v>
      </c>
      <c r="G90" s="41">
        <f t="shared" si="21"/>
        <v>23.70923574018588</v>
      </c>
      <c r="H90" s="192"/>
      <c r="I90" s="19">
        <f>+I40</f>
        <v>19.178680594009563</v>
      </c>
      <c r="J90" s="19">
        <f t="shared" si="21"/>
        <v>21.54212741451905</v>
      </c>
      <c r="K90" s="19">
        <f t="shared" si="21"/>
        <v>24.00606148312652</v>
      </c>
      <c r="L90" s="19">
        <f t="shared" si="21"/>
        <v>26.59332671503511</v>
      </c>
      <c r="M90" s="19">
        <f t="shared" si="21"/>
        <v>29.578530012543396</v>
      </c>
      <c r="N90" s="12"/>
    </row>
    <row r="91" spans="1:14" ht="12.75">
      <c r="A91" s="1" t="s">
        <v>57</v>
      </c>
      <c r="C91" s="12"/>
      <c r="D91" s="12"/>
      <c r="E91" s="12"/>
      <c r="F91" s="12"/>
      <c r="G91" s="49"/>
      <c r="H91" s="197"/>
      <c r="I91" s="12"/>
      <c r="J91" s="12"/>
      <c r="K91" s="12"/>
      <c r="L91" s="12"/>
      <c r="M91" s="12"/>
      <c r="N91" s="12"/>
    </row>
    <row r="92" spans="1:14" ht="12.75">
      <c r="A92" s="1" t="s">
        <v>234</v>
      </c>
      <c r="C92" s="38" t="s">
        <v>4</v>
      </c>
      <c r="D92" s="19">
        <f>D16</f>
        <v>5</v>
      </c>
      <c r="E92" s="19">
        <f>E16</f>
        <v>5</v>
      </c>
      <c r="F92" s="19">
        <f>F16</f>
        <v>5</v>
      </c>
      <c r="G92" s="19">
        <f>G16</f>
        <v>5</v>
      </c>
      <c r="H92" s="197"/>
      <c r="I92" s="19">
        <f>+I16+I17</f>
        <v>8.274</v>
      </c>
      <c r="J92" s="19">
        <f>+J16+J17</f>
        <v>8.4945</v>
      </c>
      <c r="K92" s="19">
        <f>+K16+K17</f>
        <v>8.726025</v>
      </c>
      <c r="L92" s="19">
        <f>+L16+L17</f>
        <v>8.96912625</v>
      </c>
      <c r="M92" s="19">
        <f>+M16+M17</f>
        <v>9.2243825625</v>
      </c>
      <c r="N92" s="12"/>
    </row>
    <row r="93" spans="1:14" ht="12.75">
      <c r="A93" s="1" t="s">
        <v>210</v>
      </c>
      <c r="C93" s="38" t="s">
        <v>4</v>
      </c>
      <c r="D93" s="19">
        <v>0</v>
      </c>
      <c r="E93" s="19">
        <v>0</v>
      </c>
      <c r="F93" s="19">
        <v>0</v>
      </c>
      <c r="G93" s="19">
        <v>0</v>
      </c>
      <c r="H93" s="197"/>
      <c r="I93" s="19">
        <f>+I145+I154</f>
        <v>6</v>
      </c>
      <c r="J93" s="19">
        <f>+J145+J154</f>
        <v>6.6000000000000005</v>
      </c>
      <c r="K93" s="19">
        <f>+K145+K154</f>
        <v>7.26</v>
      </c>
      <c r="L93" s="19">
        <f>+L145+L154</f>
        <v>7.986000000000001</v>
      </c>
      <c r="M93" s="19">
        <f>+M145+M154</f>
        <v>8.784600000000001</v>
      </c>
      <c r="N93" s="12"/>
    </row>
    <row r="94" spans="1:14" ht="12.75">
      <c r="A94" s="1" t="s">
        <v>63</v>
      </c>
      <c r="C94" s="12"/>
      <c r="G94" s="51"/>
      <c r="H94" s="198"/>
      <c r="I94" s="34"/>
      <c r="J94" s="34"/>
      <c r="K94" s="34"/>
      <c r="L94" s="34"/>
      <c r="M94" s="34"/>
      <c r="N94" s="12"/>
    </row>
    <row r="95" spans="1:14" ht="12.75">
      <c r="A95" s="1" t="s">
        <v>58</v>
      </c>
      <c r="C95" s="38" t="s">
        <v>4</v>
      </c>
      <c r="D95" s="19">
        <f aca="true" t="shared" si="22" ref="D95:G97">C48-D48</f>
        <v>-1</v>
      </c>
      <c r="E95" s="19">
        <f t="shared" si="22"/>
        <v>-1</v>
      </c>
      <c r="F95" s="19">
        <f t="shared" si="22"/>
        <v>-1</v>
      </c>
      <c r="G95" s="41">
        <f t="shared" si="22"/>
        <v>-1</v>
      </c>
      <c r="H95" s="192"/>
      <c r="I95" s="19">
        <f>H48-I48</f>
        <v>-1.5</v>
      </c>
      <c r="J95" s="19">
        <f aca="true" t="shared" si="23" ref="J95:M97">I48-J48</f>
        <v>-0.875</v>
      </c>
      <c r="K95" s="19">
        <f t="shared" si="23"/>
        <v>-0.9187499999999993</v>
      </c>
      <c r="L95" s="19">
        <f t="shared" si="23"/>
        <v>-0.9646875000000001</v>
      </c>
      <c r="M95" s="19">
        <f t="shared" si="23"/>
        <v>-1.0129218750000035</v>
      </c>
      <c r="N95" s="12"/>
    </row>
    <row r="96" spans="1:14" ht="12.75">
      <c r="A96" s="1" t="s">
        <v>59</v>
      </c>
      <c r="C96" s="38" t="s">
        <v>4</v>
      </c>
      <c r="D96" s="19">
        <f t="shared" si="22"/>
        <v>-0.5</v>
      </c>
      <c r="E96" s="19">
        <f t="shared" si="22"/>
        <v>-0.5</v>
      </c>
      <c r="F96" s="19">
        <f t="shared" si="22"/>
        <v>-0.5</v>
      </c>
      <c r="G96" s="41">
        <f t="shared" si="22"/>
        <v>-0.5</v>
      </c>
      <c r="H96" s="192"/>
      <c r="I96" s="19">
        <f>H49-I49</f>
        <v>-0.5</v>
      </c>
      <c r="J96" s="19">
        <f t="shared" si="23"/>
        <v>-0.5250000000000004</v>
      </c>
      <c r="K96" s="19">
        <f t="shared" si="23"/>
        <v>-0.5512500000000014</v>
      </c>
      <c r="L96" s="19">
        <f t="shared" si="23"/>
        <v>-0.5788124999999997</v>
      </c>
      <c r="M96" s="19">
        <f t="shared" si="23"/>
        <v>-0.6077531250000003</v>
      </c>
      <c r="N96" s="12"/>
    </row>
    <row r="97" spans="1:14" ht="12.75">
      <c r="A97" s="1" t="s">
        <v>60</v>
      </c>
      <c r="C97" s="38" t="s">
        <v>4</v>
      </c>
      <c r="D97" s="19">
        <f t="shared" si="22"/>
        <v>0</v>
      </c>
      <c r="E97" s="19">
        <f t="shared" si="22"/>
        <v>0</v>
      </c>
      <c r="F97" s="19">
        <f t="shared" si="22"/>
        <v>0</v>
      </c>
      <c r="G97" s="41">
        <f t="shared" si="22"/>
        <v>0</v>
      </c>
      <c r="H97" s="192"/>
      <c r="I97" s="19">
        <f>H50-I50</f>
        <v>0</v>
      </c>
      <c r="J97" s="19">
        <f t="shared" si="23"/>
        <v>0</v>
      </c>
      <c r="K97" s="19">
        <f t="shared" si="23"/>
        <v>0</v>
      </c>
      <c r="L97" s="19">
        <f t="shared" si="23"/>
        <v>0</v>
      </c>
      <c r="M97" s="19">
        <f t="shared" si="23"/>
        <v>0</v>
      </c>
      <c r="N97" s="12"/>
    </row>
    <row r="98" spans="1:14" ht="12.75">
      <c r="A98" s="1" t="s">
        <v>61</v>
      </c>
      <c r="C98" s="38" t="s">
        <v>4</v>
      </c>
      <c r="D98" s="19">
        <f aca="true" t="shared" si="24" ref="D98:G100">D62-C62</f>
        <v>0.5</v>
      </c>
      <c r="E98" s="19">
        <f t="shared" si="24"/>
        <v>0.5</v>
      </c>
      <c r="F98" s="19">
        <f t="shared" si="24"/>
        <v>0.5</v>
      </c>
      <c r="G98" s="41">
        <f t="shared" si="24"/>
        <v>1</v>
      </c>
      <c r="H98" s="192"/>
      <c r="I98" s="19">
        <f>I62-H62</f>
        <v>0.6666666666666661</v>
      </c>
      <c r="J98" s="19">
        <f aca="true" t="shared" si="25" ref="J98:M100">J62-I62</f>
        <v>0.5833333333333339</v>
      </c>
      <c r="K98" s="19">
        <f t="shared" si="25"/>
        <v>0.6125000000000025</v>
      </c>
      <c r="L98" s="19">
        <f t="shared" si="25"/>
        <v>0.6431249999999995</v>
      </c>
      <c r="M98" s="19">
        <f t="shared" si="25"/>
        <v>0.6752812500000012</v>
      </c>
      <c r="N98" s="12"/>
    </row>
    <row r="99" spans="1:14" ht="12.75">
      <c r="A99" s="1" t="s">
        <v>62</v>
      </c>
      <c r="C99" s="38" t="s">
        <v>4</v>
      </c>
      <c r="D99" s="19">
        <f t="shared" si="24"/>
        <v>0.10000000000000009</v>
      </c>
      <c r="E99" s="19">
        <f t="shared" si="24"/>
        <v>0.10000000000000009</v>
      </c>
      <c r="F99" s="19">
        <f t="shared" si="24"/>
        <v>0.09999999999999964</v>
      </c>
      <c r="G99" s="41">
        <f t="shared" si="24"/>
        <v>0.10000000000000009</v>
      </c>
      <c r="H99" s="192"/>
      <c r="I99" s="19">
        <f>I63-H63</f>
        <v>0.1200000000000001</v>
      </c>
      <c r="J99" s="19">
        <f t="shared" si="25"/>
        <v>0.1259999999999999</v>
      </c>
      <c r="K99" s="19">
        <f t="shared" si="25"/>
        <v>0.1323000000000003</v>
      </c>
      <c r="L99" s="19">
        <f t="shared" si="25"/>
        <v>0.1389149999999999</v>
      </c>
      <c r="M99" s="19">
        <f t="shared" si="25"/>
        <v>0.1458607500000002</v>
      </c>
      <c r="N99" s="12"/>
    </row>
    <row r="100" spans="1:14" ht="12.75">
      <c r="A100" s="1" t="s">
        <v>106</v>
      </c>
      <c r="C100" s="38" t="s">
        <v>4</v>
      </c>
      <c r="D100" s="19">
        <f t="shared" si="24"/>
        <v>-1</v>
      </c>
      <c r="E100" s="19">
        <f t="shared" si="24"/>
        <v>2</v>
      </c>
      <c r="F100" s="19">
        <f t="shared" si="24"/>
        <v>-1</v>
      </c>
      <c r="G100" s="41">
        <f t="shared" si="24"/>
        <v>-1</v>
      </c>
      <c r="H100" s="192"/>
      <c r="I100" s="19">
        <f>I64-H64</f>
        <v>1.68</v>
      </c>
      <c r="J100" s="19">
        <f t="shared" si="25"/>
        <v>0.08400000000000007</v>
      </c>
      <c r="K100" s="19">
        <f t="shared" si="25"/>
        <v>0.08820000000000028</v>
      </c>
      <c r="L100" s="19">
        <f t="shared" si="25"/>
        <v>0.09261000000000008</v>
      </c>
      <c r="M100" s="19">
        <f t="shared" si="25"/>
        <v>0.09724049999999984</v>
      </c>
      <c r="N100" s="12"/>
    </row>
    <row r="101" spans="1:14" ht="12.75">
      <c r="A101" s="1" t="s">
        <v>64</v>
      </c>
      <c r="C101" s="38" t="s">
        <v>4</v>
      </c>
      <c r="D101" s="20">
        <f aca="true" t="shared" si="26" ref="D101:M101">D78-C78</f>
        <v>1</v>
      </c>
      <c r="E101" s="20">
        <f t="shared" si="26"/>
        <v>-1</v>
      </c>
      <c r="F101" s="20">
        <f t="shared" si="26"/>
        <v>-1</v>
      </c>
      <c r="G101" s="52">
        <f t="shared" si="26"/>
        <v>2</v>
      </c>
      <c r="H101" s="199"/>
      <c r="I101" s="20">
        <f>I78-H78</f>
        <v>0</v>
      </c>
      <c r="J101" s="20">
        <f t="shared" si="26"/>
        <v>0</v>
      </c>
      <c r="K101" s="20">
        <f t="shared" si="26"/>
        <v>0</v>
      </c>
      <c r="L101" s="20">
        <f t="shared" si="26"/>
        <v>0</v>
      </c>
      <c r="M101" s="20">
        <f t="shared" si="26"/>
        <v>0</v>
      </c>
      <c r="N101" s="12"/>
    </row>
    <row r="102" spans="1:14" ht="12.75">
      <c r="A102" s="1" t="s">
        <v>65</v>
      </c>
      <c r="C102" s="38" t="s">
        <v>4</v>
      </c>
      <c r="D102" s="19">
        <f aca="true" t="shared" si="27" ref="D102:M102">SUM(D90:D101)</f>
        <v>19.39022403258656</v>
      </c>
      <c r="E102" s="19">
        <f t="shared" si="27"/>
        <v>21.925914526652868</v>
      </c>
      <c r="F102" s="19">
        <f t="shared" si="27"/>
        <v>22.919125242497586</v>
      </c>
      <c r="G102" s="41">
        <f t="shared" si="27"/>
        <v>29.30923574018588</v>
      </c>
      <c r="H102" s="192"/>
      <c r="I102" s="19">
        <f t="shared" si="27"/>
        <v>33.919347260676226</v>
      </c>
      <c r="J102" s="19">
        <f t="shared" si="27"/>
        <v>36.02996074785239</v>
      </c>
      <c r="K102" s="19">
        <f t="shared" si="27"/>
        <v>39.35508648312653</v>
      </c>
      <c r="L102" s="19">
        <f t="shared" si="27"/>
        <v>42.87960296503511</v>
      </c>
      <c r="M102" s="19">
        <f t="shared" si="27"/>
        <v>46.88522007504338</v>
      </c>
      <c r="N102" s="12"/>
    </row>
    <row r="103" spans="3:14" ht="12.75">
      <c r="C103" s="12"/>
      <c r="D103" s="12"/>
      <c r="E103" s="12"/>
      <c r="F103" s="12"/>
      <c r="G103" s="49"/>
      <c r="H103" s="197"/>
      <c r="I103" s="12"/>
      <c r="J103" s="12"/>
      <c r="K103" s="12"/>
      <c r="L103" s="12"/>
      <c r="M103" s="12"/>
      <c r="N103" s="12"/>
    </row>
    <row r="104" spans="1:14" ht="12.75">
      <c r="A104" s="21" t="s">
        <v>66</v>
      </c>
      <c r="C104" s="12"/>
      <c r="D104" s="12"/>
      <c r="E104" s="12"/>
      <c r="F104" s="12"/>
      <c r="G104" s="49"/>
      <c r="H104" s="197"/>
      <c r="I104" s="12"/>
      <c r="J104" s="12"/>
      <c r="K104" s="12"/>
      <c r="L104" s="12"/>
      <c r="M104" s="12"/>
      <c r="N104" s="12"/>
    </row>
    <row r="105" spans="1:14" ht="12.75">
      <c r="A105" s="1" t="s">
        <v>51</v>
      </c>
      <c r="C105" s="38" t="s">
        <v>4</v>
      </c>
      <c r="D105" s="19">
        <v>-10</v>
      </c>
      <c r="E105" s="19">
        <v>-11</v>
      </c>
      <c r="F105" s="19">
        <v>-12</v>
      </c>
      <c r="G105" s="41">
        <v>-13</v>
      </c>
      <c r="H105" s="192"/>
      <c r="I105" s="19">
        <f>-I7*Assumptions!H28</f>
        <v>-10.5</v>
      </c>
      <c r="J105" s="19">
        <f>-J7*Assumptions!I28</f>
        <v>-11.025</v>
      </c>
      <c r="K105" s="19">
        <f>-K7*Assumptions!J28</f>
        <v>-11.576250000000002</v>
      </c>
      <c r="L105" s="19">
        <f>-L7*Assumptions!K28</f>
        <v>-12.155062500000001</v>
      </c>
      <c r="M105" s="19">
        <f>-M7*Assumptions!L28</f>
        <v>-12.762815625000002</v>
      </c>
      <c r="N105" s="12"/>
    </row>
    <row r="106" spans="1:13" ht="12.75">
      <c r="A106" s="27" t="s">
        <v>52</v>
      </c>
      <c r="C106" s="38" t="s">
        <v>4</v>
      </c>
      <c r="D106" s="22">
        <v>0</v>
      </c>
      <c r="E106" s="22">
        <v>0</v>
      </c>
      <c r="F106" s="22">
        <v>0</v>
      </c>
      <c r="G106" s="46">
        <v>0</v>
      </c>
      <c r="H106" s="196"/>
      <c r="I106" s="22">
        <f>Assumptions!H29</f>
        <v>0</v>
      </c>
      <c r="J106" s="22">
        <f>Assumptions!I29</f>
        <v>0</v>
      </c>
      <c r="K106" s="22">
        <f>Assumptions!J29</f>
        <v>0</v>
      </c>
      <c r="L106" s="22">
        <f>Assumptions!K29</f>
        <v>0</v>
      </c>
      <c r="M106" s="22">
        <f>Assumptions!L29</f>
        <v>0</v>
      </c>
    </row>
    <row r="107" spans="1:13" ht="12.75">
      <c r="A107" s="1" t="s">
        <v>66</v>
      </c>
      <c r="C107" s="38" t="s">
        <v>4</v>
      </c>
      <c r="D107" s="19">
        <f>D105+D106</f>
        <v>-10</v>
      </c>
      <c r="E107" s="19">
        <f>E105+E106</f>
        <v>-11</v>
      </c>
      <c r="F107" s="19">
        <f>F105+F106</f>
        <v>-12</v>
      </c>
      <c r="G107" s="41">
        <f>G105+G106</f>
        <v>-13</v>
      </c>
      <c r="H107" s="192"/>
      <c r="I107" s="19">
        <f>SUM(I105:I106)</f>
        <v>-10.5</v>
      </c>
      <c r="J107" s="19">
        <f>SUM(J105:J106)</f>
        <v>-11.025</v>
      </c>
      <c r="K107" s="19">
        <f>SUM(K105:K106)</f>
        <v>-11.576250000000002</v>
      </c>
      <c r="L107" s="19">
        <f>SUM(L105:L106)</f>
        <v>-12.155062500000001</v>
      </c>
      <c r="M107" s="19">
        <f>SUM(M105:M106)</f>
        <v>-12.762815625000002</v>
      </c>
    </row>
    <row r="108" spans="3:13" ht="12.75">
      <c r="C108" s="6"/>
      <c r="D108" s="6"/>
      <c r="E108" s="6"/>
      <c r="F108" s="6"/>
      <c r="G108" s="48"/>
      <c r="H108" s="200"/>
      <c r="I108" s="6"/>
      <c r="J108" s="6"/>
      <c r="K108" s="6"/>
      <c r="L108" s="6"/>
      <c r="M108" s="6"/>
    </row>
    <row r="109" spans="1:13" ht="12.75">
      <c r="A109" s="21" t="s">
        <v>73</v>
      </c>
      <c r="C109" s="6"/>
      <c r="D109" s="6"/>
      <c r="E109" s="6"/>
      <c r="F109" s="6"/>
      <c r="G109" s="48"/>
      <c r="H109" s="200"/>
      <c r="I109" s="6"/>
      <c r="J109" s="6"/>
      <c r="K109" s="6"/>
      <c r="L109" s="6"/>
      <c r="M109" s="6"/>
    </row>
    <row r="110" spans="1:13" ht="12.75">
      <c r="A110" s="1" t="s">
        <v>74</v>
      </c>
      <c r="C110" s="38" t="s">
        <v>4</v>
      </c>
      <c r="D110" s="19">
        <f>+D68-C68</f>
        <v>5.609775967413441</v>
      </c>
      <c r="E110" s="19">
        <f>+E68-D68</f>
        <v>9.074085473347132</v>
      </c>
      <c r="F110" s="19">
        <f>+F68-E68</f>
        <v>9.080874757502414</v>
      </c>
      <c r="G110" s="19">
        <f>+G68-F68</f>
        <v>3.6907642598141237</v>
      </c>
      <c r="H110" s="192"/>
      <c r="I110" s="19">
        <f aca="true" t="shared" si="28" ref="I110:M111">I73-H73</f>
        <v>0</v>
      </c>
      <c r="J110" s="19">
        <f t="shared" si="28"/>
        <v>0</v>
      </c>
      <c r="K110" s="19">
        <f t="shared" si="28"/>
        <v>0</v>
      </c>
      <c r="L110" s="19">
        <f t="shared" si="28"/>
        <v>0</v>
      </c>
      <c r="M110" s="19">
        <f t="shared" si="28"/>
        <v>0</v>
      </c>
    </row>
    <row r="111" spans="1:13" ht="12.75">
      <c r="A111" s="1" t="s">
        <v>75</v>
      </c>
      <c r="C111" s="38" t="s">
        <v>4</v>
      </c>
      <c r="D111" s="19">
        <f aca="true" t="shared" si="29" ref="D111:G112">D69-C69</f>
        <v>-20</v>
      </c>
      <c r="E111" s="19">
        <f t="shared" si="29"/>
        <v>-20</v>
      </c>
      <c r="F111" s="19">
        <f t="shared" si="29"/>
        <v>-20</v>
      </c>
      <c r="G111" s="41">
        <f t="shared" si="29"/>
        <v>-20</v>
      </c>
      <c r="H111" s="192"/>
      <c r="I111" s="19">
        <f t="shared" si="28"/>
        <v>-20</v>
      </c>
      <c r="J111" s="19">
        <f t="shared" si="28"/>
        <v>-20</v>
      </c>
      <c r="K111" s="19">
        <f t="shared" si="28"/>
        <v>-20</v>
      </c>
      <c r="L111" s="19">
        <f t="shared" si="28"/>
        <v>-20</v>
      </c>
      <c r="M111" s="19">
        <f t="shared" si="28"/>
        <v>-40</v>
      </c>
    </row>
    <row r="112" spans="1:13" ht="12.75">
      <c r="A112" s="1" t="s">
        <v>233</v>
      </c>
      <c r="C112" s="38" t="s">
        <v>4</v>
      </c>
      <c r="D112" s="19">
        <f t="shared" si="29"/>
        <v>0</v>
      </c>
      <c r="E112" s="19">
        <f t="shared" si="29"/>
        <v>0</v>
      </c>
      <c r="F112" s="19">
        <f t="shared" si="29"/>
        <v>0</v>
      </c>
      <c r="G112" s="41">
        <f t="shared" si="29"/>
        <v>0</v>
      </c>
      <c r="H112" s="192"/>
      <c r="I112" s="19">
        <f>I75-H75-I145</f>
        <v>0</v>
      </c>
      <c r="J112" s="19">
        <f>J75-I75-J145</f>
        <v>0</v>
      </c>
      <c r="K112" s="19">
        <f>K75-J75-K145</f>
        <v>0</v>
      </c>
      <c r="L112" s="19">
        <f>L75-K75-L145</f>
        <v>0</v>
      </c>
      <c r="M112" s="19">
        <f>M75-L75-M145</f>
        <v>0</v>
      </c>
    </row>
    <row r="113" spans="1:13" ht="12.75">
      <c r="A113" s="1" t="s">
        <v>76</v>
      </c>
      <c r="C113" s="38" t="s">
        <v>4</v>
      </c>
      <c r="D113" s="22">
        <f>D70-C70</f>
        <v>0</v>
      </c>
      <c r="E113" s="22">
        <f>E70-D70</f>
        <v>0</v>
      </c>
      <c r="F113" s="22">
        <f>F70-E70</f>
        <v>0</v>
      </c>
      <c r="G113" s="46">
        <f>G70-F70</f>
        <v>0</v>
      </c>
      <c r="H113" s="196"/>
      <c r="I113" s="22">
        <f>I76-H76-I154</f>
        <v>0</v>
      </c>
      <c r="J113" s="22">
        <f>J76-I76-J154</f>
        <v>0</v>
      </c>
      <c r="K113" s="22">
        <f>K76-J76-K154</f>
        <v>0</v>
      </c>
      <c r="L113" s="22">
        <f>L76-K76-L154</f>
        <v>0</v>
      </c>
      <c r="M113" s="22">
        <f>M76-L76-M154</f>
        <v>0</v>
      </c>
    </row>
    <row r="114" spans="1:13" ht="12.75">
      <c r="A114" s="1" t="s">
        <v>77</v>
      </c>
      <c r="C114" s="38" t="s">
        <v>4</v>
      </c>
      <c r="D114" s="19">
        <f>SUM(D110:D113)</f>
        <v>-14.39022403258656</v>
      </c>
      <c r="E114" s="19">
        <f>SUM(E110:E113)</f>
        <v>-10.925914526652868</v>
      </c>
      <c r="F114" s="19">
        <f>SUM(F110:F113)</f>
        <v>-10.919125242497586</v>
      </c>
      <c r="G114" s="41">
        <f>SUM(G110:G113)</f>
        <v>-16.309235740185876</v>
      </c>
      <c r="H114" s="192"/>
      <c r="I114" s="19">
        <f>SUM(I110:I113)</f>
        <v>-20</v>
      </c>
      <c r="J114" s="19">
        <f>SUM(J110:J113)</f>
        <v>-20</v>
      </c>
      <c r="K114" s="19">
        <f>SUM(K110:K113)</f>
        <v>-20</v>
      </c>
      <c r="L114" s="19">
        <f>SUM(L110:L113)</f>
        <v>-20</v>
      </c>
      <c r="M114" s="19">
        <f>SUM(M110:M113)</f>
        <v>-40</v>
      </c>
    </row>
    <row r="115" spans="3:13" ht="12.75">
      <c r="C115" s="6"/>
      <c r="D115" s="6"/>
      <c r="E115" s="6"/>
      <c r="F115" s="6"/>
      <c r="G115" s="48"/>
      <c r="H115" s="200"/>
      <c r="I115" s="6"/>
      <c r="J115" s="6"/>
      <c r="K115" s="6"/>
      <c r="L115" s="6"/>
      <c r="M115" s="6"/>
    </row>
    <row r="116" spans="1:13" ht="12.75">
      <c r="A116" s="1" t="s">
        <v>80</v>
      </c>
      <c r="C116" s="38" t="s">
        <v>4</v>
      </c>
      <c r="D116" s="19">
        <f aca="true" t="shared" si="30" ref="D116:M116">D114+D107+D102</f>
        <v>-5</v>
      </c>
      <c r="E116" s="19">
        <f t="shared" si="30"/>
        <v>0</v>
      </c>
      <c r="F116" s="19">
        <f t="shared" si="30"/>
        <v>0</v>
      </c>
      <c r="G116" s="41">
        <f t="shared" si="30"/>
        <v>0</v>
      </c>
      <c r="H116" s="192"/>
      <c r="I116" s="19">
        <f t="shared" si="30"/>
        <v>3.4193472606762256</v>
      </c>
      <c r="J116" s="19">
        <f t="shared" si="30"/>
        <v>5.004960747852394</v>
      </c>
      <c r="K116" s="19">
        <f t="shared" si="30"/>
        <v>7.7788364831265255</v>
      </c>
      <c r="L116" s="19">
        <f t="shared" si="30"/>
        <v>10.724540465035112</v>
      </c>
      <c r="M116" s="19">
        <f t="shared" si="30"/>
        <v>-5.877595549956624</v>
      </c>
    </row>
    <row r="117" spans="3:13" ht="12.75">
      <c r="C117" s="6"/>
      <c r="D117" s="6"/>
      <c r="E117" s="6"/>
      <c r="F117" s="6"/>
      <c r="G117" s="48"/>
      <c r="H117" s="200"/>
      <c r="I117" s="6"/>
      <c r="J117" s="6"/>
      <c r="K117" s="6"/>
      <c r="L117" s="6"/>
      <c r="M117" s="6"/>
    </row>
    <row r="118" spans="1:13" ht="12.75">
      <c r="A118" s="1" t="s">
        <v>78</v>
      </c>
      <c r="C118" s="38" t="s">
        <v>4</v>
      </c>
      <c r="D118" s="19">
        <f>C47</f>
        <v>5</v>
      </c>
      <c r="E118" s="19">
        <f>D47</f>
        <v>0</v>
      </c>
      <c r="F118" s="19">
        <f>E47</f>
        <v>0</v>
      </c>
      <c r="G118" s="41">
        <f>F47</f>
        <v>0</v>
      </c>
      <c r="H118" s="192"/>
      <c r="I118" s="19">
        <f>H47</f>
        <v>0</v>
      </c>
      <c r="J118" s="19">
        <f>I47</f>
        <v>3.4193472606762256</v>
      </c>
      <c r="K118" s="19">
        <f>J47</f>
        <v>8.42430800852862</v>
      </c>
      <c r="L118" s="19">
        <f>K47</f>
        <v>16.203144491655145</v>
      </c>
      <c r="M118" s="19">
        <f>L47</f>
        <v>26.927684956690257</v>
      </c>
    </row>
    <row r="119" spans="1:13" ht="12.75">
      <c r="A119" s="1" t="s">
        <v>79</v>
      </c>
      <c r="C119" s="38" t="s">
        <v>4</v>
      </c>
      <c r="D119" s="22">
        <f aca="true" t="shared" si="31" ref="D119:M119">D116</f>
        <v>-5</v>
      </c>
      <c r="E119" s="22">
        <f t="shared" si="31"/>
        <v>0</v>
      </c>
      <c r="F119" s="22">
        <f t="shared" si="31"/>
        <v>0</v>
      </c>
      <c r="G119" s="46">
        <f t="shared" si="31"/>
        <v>0</v>
      </c>
      <c r="H119" s="196"/>
      <c r="I119" s="22">
        <f t="shared" si="31"/>
        <v>3.4193472606762256</v>
      </c>
      <c r="J119" s="22">
        <f t="shared" si="31"/>
        <v>5.004960747852394</v>
      </c>
      <c r="K119" s="22">
        <f t="shared" si="31"/>
        <v>7.7788364831265255</v>
      </c>
      <c r="L119" s="22">
        <f t="shared" si="31"/>
        <v>10.724540465035112</v>
      </c>
      <c r="M119" s="22">
        <f t="shared" si="31"/>
        <v>-5.877595549956624</v>
      </c>
    </row>
    <row r="120" spans="1:13" ht="12.75">
      <c r="A120" s="15" t="s">
        <v>81</v>
      </c>
      <c r="B120" s="15"/>
      <c r="C120" s="75" t="s">
        <v>4</v>
      </c>
      <c r="D120" s="77">
        <f>D118+D119</f>
        <v>0</v>
      </c>
      <c r="E120" s="77">
        <f>E118+E119</f>
        <v>0</v>
      </c>
      <c r="F120" s="77">
        <f>F118+F119</f>
        <v>0</v>
      </c>
      <c r="G120" s="78">
        <f>G118+G119</f>
        <v>0</v>
      </c>
      <c r="H120" s="201"/>
      <c r="I120" s="77">
        <f>SUM(I118:I119)</f>
        <v>3.4193472606762256</v>
      </c>
      <c r="J120" s="77">
        <f>SUM(J118:J119)</f>
        <v>8.42430800852862</v>
      </c>
      <c r="K120" s="77">
        <f>SUM(K118:K119)</f>
        <v>16.203144491655145</v>
      </c>
      <c r="L120" s="77">
        <f>SUM(L118:L119)</f>
        <v>26.927684956690257</v>
      </c>
      <c r="M120" s="77">
        <f>SUM(M118:M119)</f>
        <v>21.050089406733633</v>
      </c>
    </row>
    <row r="121" spans="3:13" ht="12.75">
      <c r="C121" s="6"/>
      <c r="D121" s="6"/>
      <c r="E121" s="6"/>
      <c r="F121" s="6"/>
      <c r="G121" s="48"/>
      <c r="H121" s="200"/>
      <c r="I121" s="6"/>
      <c r="J121" s="6"/>
      <c r="K121" s="6"/>
      <c r="L121" s="6"/>
      <c r="M121" s="6"/>
    </row>
    <row r="122" spans="1:13" ht="12.75">
      <c r="A122" s="1" t="s">
        <v>112</v>
      </c>
      <c r="C122" s="6"/>
      <c r="D122" s="19">
        <f>D102+D107+D111+D112+D113+D118</f>
        <v>-5.609775967413441</v>
      </c>
      <c r="E122" s="19">
        <f>E102+E107+E111+E112+E113+E118</f>
        <v>-9.074085473347132</v>
      </c>
      <c r="F122" s="19">
        <f>F102+F107+F111+F112+F113+F118</f>
        <v>-9.080874757502414</v>
      </c>
      <c r="G122" s="19">
        <f>G102+G107+G111+G112+G113+G118</f>
        <v>-3.69076425981412</v>
      </c>
      <c r="H122" s="200"/>
      <c r="I122" s="19">
        <f>I102+I107+I111+I112+I113+I118</f>
        <v>3.4193472606762256</v>
      </c>
      <c r="J122" s="19">
        <f>J102+J107+J111+J112+J113+J118</f>
        <v>8.42430800852862</v>
      </c>
      <c r="K122" s="19">
        <f>K102+K107+K111+K112+K113+K118</f>
        <v>16.203144491655145</v>
      </c>
      <c r="L122" s="19">
        <f>L102+L107+L111+L112+L113+L118</f>
        <v>26.927684956690257</v>
      </c>
      <c r="M122" s="19">
        <f>M102+M107+M111+M112+M113+M118</f>
        <v>21.050089406733633</v>
      </c>
    </row>
    <row r="123" spans="1:13" ht="12.75">
      <c r="A123" s="21" t="s">
        <v>95</v>
      </c>
      <c r="C123" s="6"/>
      <c r="D123" s="6"/>
      <c r="E123" s="6"/>
      <c r="F123" s="6"/>
      <c r="G123" s="48"/>
      <c r="H123" s="200"/>
      <c r="I123" s="6"/>
      <c r="J123" s="6"/>
      <c r="K123" s="6"/>
      <c r="L123" s="6"/>
      <c r="M123" s="6"/>
    </row>
    <row r="124" spans="1:13" ht="12.75">
      <c r="A124" s="27" t="s">
        <v>82</v>
      </c>
      <c r="C124" s="6"/>
      <c r="D124" s="6"/>
      <c r="E124" s="6"/>
      <c r="F124" s="6"/>
      <c r="G124" s="48"/>
      <c r="H124" s="200"/>
      <c r="I124" s="6"/>
      <c r="J124" s="6"/>
      <c r="K124" s="6"/>
      <c r="L124" s="6"/>
      <c r="M124" s="6"/>
    </row>
    <row r="125" spans="1:13" ht="12.75">
      <c r="A125" s="1" t="s">
        <v>83</v>
      </c>
      <c r="C125" s="6"/>
      <c r="D125" s="19">
        <f>+C68</f>
        <v>13.299999999999983</v>
      </c>
      <c r="E125" s="19">
        <f>+D127</f>
        <v>18.909775967413424</v>
      </c>
      <c r="F125" s="19">
        <f>+E127</f>
        <v>27.983861440760556</v>
      </c>
      <c r="G125" s="41">
        <f>+F127</f>
        <v>37.06473619826297</v>
      </c>
      <c r="H125" s="192"/>
      <c r="I125" s="19">
        <f>+H73</f>
        <v>0</v>
      </c>
      <c r="J125" s="19">
        <f>I127</f>
        <v>0</v>
      </c>
      <c r="K125" s="19">
        <f>J127</f>
        <v>0</v>
      </c>
      <c r="L125" s="19">
        <f>K127</f>
        <v>0</v>
      </c>
      <c r="M125" s="19">
        <f>L127</f>
        <v>0</v>
      </c>
    </row>
    <row r="126" spans="1:15" ht="12.75">
      <c r="A126" s="1" t="s">
        <v>89</v>
      </c>
      <c r="D126" s="19">
        <f>-MIN(D125,D122)</f>
        <v>5.609775967413441</v>
      </c>
      <c r="E126" s="19">
        <f>-MIN(E125,E122)</f>
        <v>9.074085473347132</v>
      </c>
      <c r="F126" s="19">
        <f>-MIN(F125,F122)</f>
        <v>9.080874757502414</v>
      </c>
      <c r="G126" s="41">
        <f>-MIN(G125,G122)</f>
        <v>3.69076425981412</v>
      </c>
      <c r="H126" s="192"/>
      <c r="I126" s="19">
        <f>-MIN(I122,I125)</f>
        <v>0</v>
      </c>
      <c r="J126" s="19">
        <f>-MIN(J122,J125)</f>
        <v>0</v>
      </c>
      <c r="K126" s="19">
        <f>-MIN(K122,K125)</f>
        <v>0</v>
      </c>
      <c r="L126" s="19">
        <f>-MIN(L122,L125)</f>
        <v>0</v>
      </c>
      <c r="M126" s="19">
        <f>-MIN(M122,M125)</f>
        <v>0</v>
      </c>
      <c r="O126" s="19"/>
    </row>
    <row r="127" spans="1:13" ht="12.75">
      <c r="A127" s="1" t="s">
        <v>84</v>
      </c>
      <c r="D127" s="19">
        <f>+D125+D126</f>
        <v>18.909775967413424</v>
      </c>
      <c r="E127" s="19">
        <f>+E125+E126</f>
        <v>27.983861440760556</v>
      </c>
      <c r="F127" s="19">
        <f>+F125+F126</f>
        <v>37.06473619826297</v>
      </c>
      <c r="G127" s="41">
        <f>+G125+G126</f>
        <v>40.755500458077094</v>
      </c>
      <c r="H127" s="192"/>
      <c r="I127" s="19">
        <f>I125+I126</f>
        <v>0</v>
      </c>
      <c r="J127" s="19">
        <f>J125+J126</f>
        <v>0</v>
      </c>
      <c r="K127" s="19">
        <f>K125+K126</f>
        <v>0</v>
      </c>
      <c r="L127" s="19">
        <f>L125+L126</f>
        <v>0</v>
      </c>
      <c r="M127" s="19">
        <f>M125+M126</f>
        <v>0</v>
      </c>
    </row>
    <row r="128" spans="1:13" ht="12.75">
      <c r="A128" s="1" t="s">
        <v>85</v>
      </c>
      <c r="D128" s="9">
        <v>0.06</v>
      </c>
      <c r="E128" s="9">
        <v>0.06</v>
      </c>
      <c r="F128" s="9">
        <v>0.06</v>
      </c>
      <c r="G128" s="53">
        <v>0.06</v>
      </c>
      <c r="H128" s="202"/>
      <c r="I128" s="87">
        <f>Assumptions!H41</f>
        <v>0.07</v>
      </c>
      <c r="J128" s="87">
        <f>Assumptions!I41</f>
        <v>0.07</v>
      </c>
      <c r="K128" s="87">
        <f>Assumptions!J41</f>
        <v>0.07</v>
      </c>
      <c r="L128" s="87">
        <f>Assumptions!K41</f>
        <v>0.07</v>
      </c>
      <c r="M128" s="87">
        <f>Assumptions!L41</f>
        <v>0.07</v>
      </c>
    </row>
    <row r="129" spans="1:13" ht="12.75">
      <c r="A129" s="1" t="s">
        <v>18</v>
      </c>
      <c r="D129" s="30">
        <f>AVERAGE(D127,D125)*D128</f>
        <v>0.9662932790224021</v>
      </c>
      <c r="E129" s="30">
        <f>AVERAGE(E127,E125)*E128</f>
        <v>1.4068091222452193</v>
      </c>
      <c r="F129" s="30">
        <f>AVERAGE(F127,F125)*F128</f>
        <v>1.9514579291707057</v>
      </c>
      <c r="G129" s="54">
        <f>AVERAGE(G127,G125)*G128</f>
        <v>2.3346070996902015</v>
      </c>
      <c r="H129" s="203"/>
      <c r="I129" s="30">
        <f>I128*AVERAGE(I127,I125)</f>
        <v>0</v>
      </c>
      <c r="J129" s="30">
        <f>J128*AVERAGE(J127,J125)</f>
        <v>0</v>
      </c>
      <c r="K129" s="30">
        <f>K128*AVERAGE(K127,K125)</f>
        <v>0</v>
      </c>
      <c r="L129" s="30">
        <f>L128*AVERAGE(L127,L125)</f>
        <v>0</v>
      </c>
      <c r="M129" s="30">
        <f>M128*AVERAGE(M127,M125)</f>
        <v>0</v>
      </c>
    </row>
    <row r="130" spans="7:8" ht="12.75">
      <c r="G130" s="51"/>
      <c r="H130" s="198"/>
    </row>
    <row r="131" spans="1:8" ht="12.75">
      <c r="A131" s="27" t="s">
        <v>54</v>
      </c>
      <c r="G131" s="51"/>
      <c r="H131" s="198"/>
    </row>
    <row r="132" spans="1:13" ht="12.75">
      <c r="A132" s="1" t="s">
        <v>88</v>
      </c>
      <c r="D132" s="19">
        <f>+C69</f>
        <v>180</v>
      </c>
      <c r="E132" s="19">
        <f>+D134</f>
        <v>160</v>
      </c>
      <c r="F132" s="19">
        <f>+E134</f>
        <v>140</v>
      </c>
      <c r="G132" s="19">
        <f>+F134</f>
        <v>120</v>
      </c>
      <c r="H132" s="192"/>
      <c r="I132" s="19">
        <f>H74</f>
        <v>120</v>
      </c>
      <c r="J132" s="19">
        <f>I134</f>
        <v>100</v>
      </c>
      <c r="K132" s="19">
        <f>J134</f>
        <v>80</v>
      </c>
      <c r="L132" s="19">
        <f>K134</f>
        <v>60</v>
      </c>
      <c r="M132" s="19">
        <f>L134</f>
        <v>40</v>
      </c>
    </row>
    <row r="133" spans="1:13" ht="12.75">
      <c r="A133" s="1" t="s">
        <v>89</v>
      </c>
      <c r="D133" s="19">
        <v>-20</v>
      </c>
      <c r="E133" s="19">
        <v>-20</v>
      </c>
      <c r="F133" s="19">
        <v>-20</v>
      </c>
      <c r="G133" s="41">
        <v>-20</v>
      </c>
      <c r="H133" s="192"/>
      <c r="I133" s="19">
        <f>-Assumptions!H49</f>
        <v>-20</v>
      </c>
      <c r="J133" s="19">
        <f>-Assumptions!I49</f>
        <v>-20</v>
      </c>
      <c r="K133" s="19">
        <f>-Assumptions!J49</f>
        <v>-20</v>
      </c>
      <c r="L133" s="19">
        <f>-Assumptions!K49</f>
        <v>-20</v>
      </c>
      <c r="M133" s="19">
        <f>-Assumptions!L49</f>
        <v>-40</v>
      </c>
    </row>
    <row r="134" spans="1:13" ht="12.75">
      <c r="A134" s="1" t="s">
        <v>90</v>
      </c>
      <c r="D134" s="19">
        <f>+D132+D133</f>
        <v>160</v>
      </c>
      <c r="E134" s="19">
        <f>+E132+E133</f>
        <v>140</v>
      </c>
      <c r="F134" s="19">
        <f>+F132+F133</f>
        <v>120</v>
      </c>
      <c r="G134" s="41">
        <f>+G132+G133</f>
        <v>100</v>
      </c>
      <c r="H134" s="192"/>
      <c r="I134" s="19">
        <f>I132+I133</f>
        <v>100</v>
      </c>
      <c r="J134" s="19">
        <f>J132+J133</f>
        <v>80</v>
      </c>
      <c r="K134" s="19">
        <f>K132+K133</f>
        <v>60</v>
      </c>
      <c r="L134" s="19">
        <f>L132+L133</f>
        <v>40</v>
      </c>
      <c r="M134" s="19">
        <f>M132+M133</f>
        <v>0</v>
      </c>
    </row>
    <row r="135" spans="1:13" ht="12.75">
      <c r="A135" s="1" t="s">
        <v>85</v>
      </c>
      <c r="D135" s="31">
        <v>0.065</v>
      </c>
      <c r="E135" s="31">
        <v>0.065</v>
      </c>
      <c r="F135" s="31">
        <v>0.065</v>
      </c>
      <c r="G135" s="55">
        <v>0.065</v>
      </c>
      <c r="H135" s="204"/>
      <c r="I135" s="31">
        <f>Assumptions!H42</f>
        <v>0.075</v>
      </c>
      <c r="J135" s="31">
        <f>Assumptions!I42</f>
        <v>0.075</v>
      </c>
      <c r="K135" s="31">
        <f>Assumptions!J42</f>
        <v>0.075</v>
      </c>
      <c r="L135" s="31">
        <f>Assumptions!K42</f>
        <v>0.075</v>
      </c>
      <c r="M135" s="31">
        <f>Assumptions!L42</f>
        <v>0.075</v>
      </c>
    </row>
    <row r="136" spans="1:13" ht="12.75">
      <c r="A136" s="1" t="s">
        <v>18</v>
      </c>
      <c r="D136" s="30">
        <f>AVERAGE(D134,D132)*D135</f>
        <v>11.05</v>
      </c>
      <c r="E136" s="30">
        <f>AVERAGE(E134,E132)*E135</f>
        <v>9.75</v>
      </c>
      <c r="F136" s="30">
        <f>AVERAGE(F134,F132)*F135</f>
        <v>8.450000000000001</v>
      </c>
      <c r="G136" s="54">
        <f>AVERAGE(G134,G132)*G135</f>
        <v>7.15</v>
      </c>
      <c r="H136" s="192"/>
      <c r="I136" s="19">
        <f>I135*AVERAGE(I134,I132)</f>
        <v>8.25</v>
      </c>
      <c r="J136" s="19">
        <f>J135*AVERAGE(J134,J132)</f>
        <v>6.75</v>
      </c>
      <c r="K136" s="19">
        <f>K135*AVERAGE(K134,K132)</f>
        <v>5.25</v>
      </c>
      <c r="L136" s="19">
        <f>L135*AVERAGE(L134,L132)</f>
        <v>3.75</v>
      </c>
      <c r="M136" s="19">
        <f>M135*AVERAGE(M134,M132)</f>
        <v>1.5</v>
      </c>
    </row>
    <row r="137" spans="7:8" ht="12.75">
      <c r="G137" s="51"/>
      <c r="H137" s="198"/>
    </row>
    <row r="138" spans="1:8" ht="12.75">
      <c r="A138" s="27" t="s">
        <v>222</v>
      </c>
      <c r="G138" s="51"/>
      <c r="H138" s="198"/>
    </row>
    <row r="139" spans="1:13" ht="12.75">
      <c r="A139" s="1" t="s">
        <v>223</v>
      </c>
      <c r="D139" s="19">
        <v>0</v>
      </c>
      <c r="E139" s="19">
        <v>0</v>
      </c>
      <c r="F139" s="19">
        <v>0</v>
      </c>
      <c r="G139" s="41">
        <v>0</v>
      </c>
      <c r="H139" s="198"/>
      <c r="I139" s="19">
        <f>Model!H75</f>
        <v>90</v>
      </c>
      <c r="J139" s="19">
        <f>I141</f>
        <v>90</v>
      </c>
      <c r="K139" s="19">
        <f>J141</f>
        <v>90</v>
      </c>
      <c r="L139" s="19">
        <f>K141</f>
        <v>90</v>
      </c>
      <c r="M139" s="19">
        <f>L141</f>
        <v>90</v>
      </c>
    </row>
    <row r="140" spans="1:13" ht="12.75">
      <c r="A140" s="1" t="s">
        <v>89</v>
      </c>
      <c r="D140" s="19">
        <v>0</v>
      </c>
      <c r="E140" s="19">
        <v>0</v>
      </c>
      <c r="F140" s="19">
        <v>0</v>
      </c>
      <c r="G140" s="41">
        <v>0</v>
      </c>
      <c r="H140" s="198"/>
      <c r="I140" s="19">
        <f>-Assumptions!H50</f>
        <v>0</v>
      </c>
      <c r="J140" s="19">
        <f>-Assumptions!I50</f>
        <v>0</v>
      </c>
      <c r="K140" s="19">
        <f>-Assumptions!J50</f>
        <v>0</v>
      </c>
      <c r="L140" s="19">
        <f>-Assumptions!K50</f>
        <v>0</v>
      </c>
      <c r="M140" s="19">
        <f>-Assumptions!L50</f>
        <v>0</v>
      </c>
    </row>
    <row r="141" spans="1:13" ht="12.75">
      <c r="A141" s="1" t="s">
        <v>224</v>
      </c>
      <c r="D141" s="19">
        <v>0</v>
      </c>
      <c r="E141" s="19">
        <v>0</v>
      </c>
      <c r="F141" s="19">
        <v>0</v>
      </c>
      <c r="G141" s="41">
        <v>0</v>
      </c>
      <c r="H141" s="198"/>
      <c r="I141" s="19">
        <f>I139+I140+I145</f>
        <v>90</v>
      </c>
      <c r="J141" s="19">
        <f>J139+J140+J145</f>
        <v>90</v>
      </c>
      <c r="K141" s="19">
        <f>K139+K140+K145</f>
        <v>90</v>
      </c>
      <c r="L141" s="19">
        <f>L139+L140+L145</f>
        <v>90</v>
      </c>
      <c r="M141" s="19">
        <f>M139+M140+M145</f>
        <v>90</v>
      </c>
    </row>
    <row r="142" spans="1:13" ht="12.75">
      <c r="A142" s="1" t="s">
        <v>208</v>
      </c>
      <c r="D142" s="31">
        <v>0</v>
      </c>
      <c r="E142" s="31">
        <v>0</v>
      </c>
      <c r="F142" s="31">
        <v>0</v>
      </c>
      <c r="G142" s="55">
        <v>0</v>
      </c>
      <c r="H142" s="198"/>
      <c r="I142" s="31">
        <f>Assumptions!H43</f>
        <v>0.095</v>
      </c>
      <c r="J142" s="31">
        <f>Assumptions!I43</f>
        <v>0.095</v>
      </c>
      <c r="K142" s="31">
        <f>Assumptions!J43</f>
        <v>0.095</v>
      </c>
      <c r="L142" s="31">
        <f>Assumptions!K43</f>
        <v>0.095</v>
      </c>
      <c r="M142" s="31">
        <f>Assumptions!L43</f>
        <v>0.095</v>
      </c>
    </row>
    <row r="143" spans="1:13" ht="12.75">
      <c r="A143" s="1" t="s">
        <v>170</v>
      </c>
      <c r="D143" s="19">
        <v>0</v>
      </c>
      <c r="E143" s="19">
        <v>0</v>
      </c>
      <c r="F143" s="19">
        <v>0</v>
      </c>
      <c r="G143" s="41">
        <v>0</v>
      </c>
      <c r="H143" s="198"/>
      <c r="I143" s="19">
        <f>I142*AVERAGE(I141,I139)</f>
        <v>8.55</v>
      </c>
      <c r="J143" s="19">
        <f>J142*AVERAGE(J141,J139)</f>
        <v>8.55</v>
      </c>
      <c r="K143" s="19">
        <f>K142*AVERAGE(K141,K139)</f>
        <v>8.55</v>
      </c>
      <c r="L143" s="19">
        <f>L142*AVERAGE(L141,L139)</f>
        <v>8.55</v>
      </c>
      <c r="M143" s="19">
        <f>M142*AVERAGE(M141,M139)</f>
        <v>8.55</v>
      </c>
    </row>
    <row r="144" spans="1:13" ht="12.75">
      <c r="A144" s="1" t="s">
        <v>209</v>
      </c>
      <c r="D144" s="31">
        <v>0</v>
      </c>
      <c r="E144" s="31">
        <v>0</v>
      </c>
      <c r="F144" s="31">
        <v>0</v>
      </c>
      <c r="G144" s="55">
        <v>0</v>
      </c>
      <c r="H144" s="198"/>
      <c r="I144" s="31">
        <f>Assumptions!H46</f>
        <v>0</v>
      </c>
      <c r="J144" s="31">
        <f>Assumptions!I46</f>
        <v>0</v>
      </c>
      <c r="K144" s="31">
        <f>Assumptions!J46</f>
        <v>0</v>
      </c>
      <c r="L144" s="31">
        <f>Assumptions!K46</f>
        <v>0</v>
      </c>
      <c r="M144" s="31">
        <f>Assumptions!L46</f>
        <v>0</v>
      </c>
    </row>
    <row r="145" spans="1:13" ht="12.75">
      <c r="A145" s="1" t="s">
        <v>210</v>
      </c>
      <c r="D145" s="19">
        <v>0</v>
      </c>
      <c r="E145" s="19">
        <v>0</v>
      </c>
      <c r="F145" s="19">
        <v>0</v>
      </c>
      <c r="G145" s="41">
        <v>0</v>
      </c>
      <c r="H145" s="198"/>
      <c r="I145" s="19">
        <f>I144*I139</f>
        <v>0</v>
      </c>
      <c r="J145" s="19">
        <f>J144*J139</f>
        <v>0</v>
      </c>
      <c r="K145" s="19">
        <f>K144*K139</f>
        <v>0</v>
      </c>
      <c r="L145" s="19">
        <f>L144*L139</f>
        <v>0</v>
      </c>
      <c r="M145" s="19">
        <f>M144*M139</f>
        <v>0</v>
      </c>
    </row>
    <row r="146" spans="7:13" ht="12.75">
      <c r="G146" s="51"/>
      <c r="H146" s="198"/>
      <c r="I146" s="19"/>
      <c r="J146" s="19"/>
      <c r="K146" s="19"/>
      <c r="L146" s="19"/>
      <c r="M146" s="19"/>
    </row>
    <row r="147" spans="1:8" ht="12.75">
      <c r="A147" s="27" t="s">
        <v>49</v>
      </c>
      <c r="G147" s="51"/>
      <c r="H147" s="198"/>
    </row>
    <row r="148" spans="1:13" ht="12.75">
      <c r="A148" s="1" t="s">
        <v>91</v>
      </c>
      <c r="D148" s="19">
        <f>+C70</f>
        <v>50</v>
      </c>
      <c r="E148" s="19">
        <f>+D150</f>
        <v>50</v>
      </c>
      <c r="F148" s="19">
        <f>+E150</f>
        <v>50</v>
      </c>
      <c r="G148" s="19">
        <f>+F150</f>
        <v>50</v>
      </c>
      <c r="H148" s="192"/>
      <c r="I148" s="19">
        <f>H76</f>
        <v>60</v>
      </c>
      <c r="J148" s="19">
        <f>I150</f>
        <v>66</v>
      </c>
      <c r="K148" s="19">
        <f>J150</f>
        <v>72.6</v>
      </c>
      <c r="L148" s="19">
        <f>K150</f>
        <v>79.86</v>
      </c>
      <c r="M148" s="19">
        <f>L150</f>
        <v>87.846</v>
      </c>
    </row>
    <row r="149" spans="1:13" ht="12.75">
      <c r="A149" s="1" t="s">
        <v>89</v>
      </c>
      <c r="D149" s="19">
        <v>0</v>
      </c>
      <c r="E149" s="19">
        <v>0</v>
      </c>
      <c r="F149" s="19">
        <v>0</v>
      </c>
      <c r="G149" s="41">
        <v>0</v>
      </c>
      <c r="H149" s="192"/>
      <c r="I149" s="19">
        <f>-Assumptions!H51</f>
        <v>0</v>
      </c>
      <c r="J149" s="19">
        <f>-Assumptions!I51</f>
        <v>0</v>
      </c>
      <c r="K149" s="19">
        <f>-Assumptions!J51</f>
        <v>0</v>
      </c>
      <c r="L149" s="19">
        <f>-Assumptions!K51</f>
        <v>0</v>
      </c>
      <c r="M149" s="19">
        <f>-Assumptions!L51</f>
        <v>0</v>
      </c>
    </row>
    <row r="150" spans="1:13" ht="12.75">
      <c r="A150" s="1" t="s">
        <v>92</v>
      </c>
      <c r="D150" s="19">
        <f>+D148+D149</f>
        <v>50</v>
      </c>
      <c r="E150" s="19">
        <f>+E148+E149</f>
        <v>50</v>
      </c>
      <c r="F150" s="19">
        <f>+F148+F149</f>
        <v>50</v>
      </c>
      <c r="G150" s="19">
        <f>+G148+G149</f>
        <v>50</v>
      </c>
      <c r="H150" s="192"/>
      <c r="I150" s="19">
        <f>I148+I149+I154</f>
        <v>66</v>
      </c>
      <c r="J150" s="19">
        <f>J148+J149+J154</f>
        <v>72.6</v>
      </c>
      <c r="K150" s="19">
        <f>K148+K149+K154</f>
        <v>79.86</v>
      </c>
      <c r="L150" s="19">
        <f>L148+L149+L154</f>
        <v>87.846</v>
      </c>
      <c r="M150" s="19">
        <f>M148+M149+M154</f>
        <v>96.6306</v>
      </c>
    </row>
    <row r="151" spans="1:13" ht="12.75">
      <c r="A151" s="1" t="s">
        <v>208</v>
      </c>
      <c r="D151" s="87">
        <v>0.12</v>
      </c>
      <c r="E151" s="87">
        <v>0.12</v>
      </c>
      <c r="F151" s="87">
        <v>0.12</v>
      </c>
      <c r="G151" s="207">
        <v>0.12</v>
      </c>
      <c r="H151" s="205"/>
      <c r="I151" s="87">
        <f>Assumptions!H44</f>
        <v>0</v>
      </c>
      <c r="J151" s="87">
        <f>Assumptions!I44</f>
        <v>0</v>
      </c>
      <c r="K151" s="87">
        <f>Assumptions!J44</f>
        <v>0</v>
      </c>
      <c r="L151" s="87">
        <f>Assumptions!K44</f>
        <v>0</v>
      </c>
      <c r="M151" s="87">
        <f>Assumptions!L44</f>
        <v>0</v>
      </c>
    </row>
    <row r="152" spans="1:13" ht="12.75">
      <c r="A152" s="1" t="s">
        <v>170</v>
      </c>
      <c r="D152" s="19">
        <f>AVERAGE(D150,D148)*D151</f>
        <v>6</v>
      </c>
      <c r="E152" s="19">
        <f>AVERAGE(E150,E148)*E151</f>
        <v>6</v>
      </c>
      <c r="F152" s="19">
        <f>AVERAGE(F150,F148)*F151</f>
        <v>6</v>
      </c>
      <c r="G152" s="19">
        <f>AVERAGE(G150,G148)*G151</f>
        <v>6</v>
      </c>
      <c r="H152" s="192"/>
      <c r="I152" s="19">
        <f>I151*AVERAGE(I150,I148)</f>
        <v>0</v>
      </c>
      <c r="J152" s="19">
        <f>J151*AVERAGE(J150,J148)</f>
        <v>0</v>
      </c>
      <c r="K152" s="19">
        <f>K151*AVERAGE(K150,K148)</f>
        <v>0</v>
      </c>
      <c r="L152" s="19">
        <f>L151*AVERAGE(L150,L148)</f>
        <v>0</v>
      </c>
      <c r="M152" s="19">
        <f>M151*AVERAGE(M150,M148)</f>
        <v>0</v>
      </c>
    </row>
    <row r="153" spans="1:13" ht="12.75">
      <c r="A153" s="1" t="s">
        <v>209</v>
      </c>
      <c r="D153" s="31">
        <v>0</v>
      </c>
      <c r="E153" s="31">
        <v>0</v>
      </c>
      <c r="F153" s="31">
        <v>0</v>
      </c>
      <c r="G153" s="55">
        <v>0</v>
      </c>
      <c r="H153" s="192"/>
      <c r="I153" s="87">
        <f>Assumptions!H47</f>
        <v>0.1</v>
      </c>
      <c r="J153" s="87">
        <f>Assumptions!I47</f>
        <v>0.1</v>
      </c>
      <c r="K153" s="87">
        <f>Assumptions!J47</f>
        <v>0.1</v>
      </c>
      <c r="L153" s="87">
        <f>Assumptions!K47</f>
        <v>0.1</v>
      </c>
      <c r="M153" s="87">
        <f>Assumptions!L47</f>
        <v>0.1</v>
      </c>
    </row>
    <row r="154" spans="1:13" ht="12.75">
      <c r="A154" s="1" t="s">
        <v>210</v>
      </c>
      <c r="D154" s="19">
        <v>0</v>
      </c>
      <c r="E154" s="19">
        <v>0</v>
      </c>
      <c r="F154" s="19">
        <v>0</v>
      </c>
      <c r="G154" s="41">
        <v>0</v>
      </c>
      <c r="H154" s="192"/>
      <c r="I154" s="19">
        <f>I153*I148</f>
        <v>6</v>
      </c>
      <c r="J154" s="19">
        <f>J153*J148</f>
        <v>6.6000000000000005</v>
      </c>
      <c r="K154" s="19">
        <f>K153*K148</f>
        <v>7.26</v>
      </c>
      <c r="L154" s="19">
        <f>L153*L148</f>
        <v>7.986000000000001</v>
      </c>
      <c r="M154" s="19">
        <f>M153*M148</f>
        <v>8.784600000000001</v>
      </c>
    </row>
    <row r="155" spans="7:8" ht="12.75">
      <c r="G155" s="51"/>
      <c r="H155" s="198"/>
    </row>
    <row r="156" spans="1:13" ht="12.75">
      <c r="A156" s="1" t="s">
        <v>93</v>
      </c>
      <c r="D156" s="19">
        <f>D129+D136+D143+D145+D152+D154</f>
        <v>18.016293279022403</v>
      </c>
      <c r="E156" s="19">
        <f>E129+E136+E143+E145+E152+E154</f>
        <v>17.15680912224522</v>
      </c>
      <c r="F156" s="19">
        <f>F129+F136+F143+F145+F152+F154</f>
        <v>16.401457929170707</v>
      </c>
      <c r="G156" s="19">
        <f>G129+G136+G143+G145+G152+G154</f>
        <v>15.484607099690201</v>
      </c>
      <c r="H156" s="198"/>
      <c r="I156" s="19">
        <f>I129+I136+I143+I145+I152+I154</f>
        <v>22.8</v>
      </c>
      <c r="J156" s="19">
        <f>J129+J136+J143+J145+J152+J154</f>
        <v>21.900000000000002</v>
      </c>
      <c r="K156" s="19">
        <f>K129+K136+K143+K145+K152+K154</f>
        <v>21.060000000000002</v>
      </c>
      <c r="L156" s="19">
        <f>L129+L136+L143+L145+L152+L154</f>
        <v>20.286</v>
      </c>
      <c r="M156" s="19">
        <f>M129+M136+M143+M145+M152+M154</f>
        <v>18.834600000000002</v>
      </c>
    </row>
    <row r="157" spans="1:13" ht="12.75">
      <c r="A157" s="1" t="s">
        <v>170</v>
      </c>
      <c r="D157" s="19">
        <f>D129+D136+D143+D152</f>
        <v>18.016293279022403</v>
      </c>
      <c r="E157" s="19">
        <f>E129+E136+E143+E152</f>
        <v>17.15680912224522</v>
      </c>
      <c r="F157" s="19">
        <f>F129+F136+F143+F152</f>
        <v>16.401457929170707</v>
      </c>
      <c r="G157" s="19">
        <f>G129+G136+G143+G152</f>
        <v>15.484607099690201</v>
      </c>
      <c r="H157" s="192"/>
      <c r="I157" s="19">
        <f>I129+I136+I143+I152</f>
        <v>16.8</v>
      </c>
      <c r="J157" s="19">
        <f>J129+J136+J143+J152</f>
        <v>15.3</v>
      </c>
      <c r="K157" s="19">
        <f>K129+K136+K143+K152</f>
        <v>13.8</v>
      </c>
      <c r="L157" s="19">
        <f>L129+L136+L143+L152</f>
        <v>12.3</v>
      </c>
      <c r="M157" s="19">
        <f>M129+M136+M143+M152</f>
        <v>10.05</v>
      </c>
    </row>
    <row r="158" spans="4:13" ht="12.75">
      <c r="D158" s="79"/>
      <c r="E158" s="79"/>
      <c r="F158" s="79"/>
      <c r="G158" s="80"/>
      <c r="H158" s="206"/>
      <c r="I158" s="79"/>
      <c r="J158" s="79"/>
      <c r="K158" s="79"/>
      <c r="L158" s="79"/>
      <c r="M158" s="79"/>
    </row>
    <row r="159" spans="1:13" ht="12.75">
      <c r="A159" s="15" t="s">
        <v>96</v>
      </c>
      <c r="B159" s="15"/>
      <c r="C159" s="15"/>
      <c r="D159" s="77">
        <f>+AVERAGE(C47:D47)*Assumptions!D39</f>
        <v>0.05</v>
      </c>
      <c r="E159" s="77">
        <f>+AVERAGE(D47:E47)*Assumptions!E39</f>
        <v>0</v>
      </c>
      <c r="F159" s="77">
        <f>+AVERAGE(E47:F47)*Assumptions!F39</f>
        <v>0</v>
      </c>
      <c r="G159" s="77">
        <f>+AVERAGE(F47:G47)*Assumptions!G39</f>
        <v>0</v>
      </c>
      <c r="H159" s="201"/>
      <c r="I159" s="77">
        <f>AVERAGE(H47:I47)*Assumptions!H39</f>
        <v>0.038467656682607536</v>
      </c>
      <c r="J159" s="77">
        <f>AVERAGE(I47:J47)*Assumptions!I39</f>
        <v>0.14804569086506056</v>
      </c>
      <c r="K159" s="77">
        <f>AVERAGE(J47:K47)*Assumptions!J39</f>
        <v>0.33862747187752673</v>
      </c>
      <c r="L159" s="77">
        <f>AVERAGE(K47:L47)*Assumptions!K39</f>
        <v>0.6469624417251809</v>
      </c>
      <c r="M159" s="77">
        <f>AVERAGE(L47:M47)*Assumptions!L39</f>
        <v>0.7796388334056381</v>
      </c>
    </row>
  </sheetData>
  <sheetProtection/>
  <printOptions horizontalCentered="1"/>
  <pageMargins left="0.5" right="0.5" top="1" bottom="1" header="0.5" footer="0.5"/>
  <pageSetup fitToHeight="4" horizontalDpi="300" verticalDpi="300" orientation="portrait" scale="72" r:id="rId1"/>
  <headerFooter alignWithMargins="0">
    <oddFooter>&amp;CPage &amp;P</oddFooter>
  </headerFooter>
  <rowBreaks count="3" manualBreakCount="3">
    <brk id="43" max="11" man="1"/>
    <brk id="87" max="11" man="1"/>
    <brk id="12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IBI</dc:creator>
  <cp:keywords/>
  <dc:description/>
  <cp:lastModifiedBy>Francine Way</cp:lastModifiedBy>
  <cp:lastPrinted>2007-01-09T22:21:37Z</cp:lastPrinted>
  <dcterms:created xsi:type="dcterms:W3CDTF">2006-11-09T02:14:54Z</dcterms:created>
  <dcterms:modified xsi:type="dcterms:W3CDTF">2017-07-16T21:41:37Z</dcterms:modified>
  <cp:category/>
  <cp:version/>
  <cp:contentType/>
  <cp:contentStatus/>
</cp:coreProperties>
</file>